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4.xml" ContentType="application/vnd.openxmlformats-officedocument.spreadsheetml.comments+xml"/>
  <Override PartName="/xl/charts/chart10.xml" ContentType="application/vnd.openxmlformats-officedocument.drawingml.chart+xml"/>
  <Override PartName="/xl/drawings/drawing5.xml" ContentType="application/vnd.openxmlformats-officedocument.drawing+xml"/>
  <Override PartName="/xl/comments5.xml" ContentType="application/vnd.openxmlformats-officedocument.spreadsheetml.comment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6.xml" ContentType="application/vnd.openxmlformats-officedocument.drawing+xml"/>
  <Override PartName="/xl/comments6.xml" ContentType="application/vnd.openxmlformats-officedocument.spreadsheetml.comments+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7.xml" ContentType="application/vnd.openxmlformats-officedocument.drawing+xml"/>
  <Override PartName="/xl/comments7.xml" ContentType="application/vnd.openxmlformats-officedocument.spreadsheetml.comments+xml"/>
  <Override PartName="/xl/charts/chart19.xml" ContentType="application/vnd.openxmlformats-officedocument.drawingml.chart+xml"/>
  <Override PartName="/xl/drawings/drawing8.xml" ContentType="application/vnd.openxmlformats-officedocument.drawing+xml"/>
  <Override PartName="/xl/comments8.xml" ContentType="application/vnd.openxmlformats-officedocument.spreadsheetml.comments+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xml"/>
  <Override PartName="/xl/comments9.xml" ContentType="application/vnd.openxmlformats-officedocument.spreadsheetml.comments+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C:\Users\johnm\OneDrive\Documents\Gutenberg\19-Procrastinators guide to modeling\SBUX\Files to publish\"/>
    </mc:Choice>
  </mc:AlternateContent>
  <xr:revisionPtr revIDLastSave="0" documentId="13_ncr:1_{5E364715-A634-4340-AC35-17AB834BCBD9}" xr6:coauthVersionLast="47" xr6:coauthVersionMax="47" xr10:uidLastSave="{00000000-0000-0000-0000-000000000000}"/>
  <bookViews>
    <workbookView xWindow="10128" yWindow="0" windowWidth="29772" windowHeight="16680" tabRatio="767" xr2:uid="{00000000-000D-0000-FFFF-FFFF00000000}"/>
  </bookViews>
  <sheets>
    <sheet name="IS (Base-Case)" sheetId="36" r:id="rId1"/>
    <sheet name="BS (Base-Case)" sheetId="38" r:id="rId2"/>
    <sheet name="CFS (Base-Case)" sheetId="39" r:id="rId3"/>
    <sheet name="IS (Bull-Case)" sheetId="41" r:id="rId4"/>
    <sheet name="BS (Bull-Case)" sheetId="43" r:id="rId5"/>
    <sheet name="CFS (Bull-Case)" sheetId="45" r:id="rId6"/>
    <sheet name="IS (Change)" sheetId="42" r:id="rId7"/>
    <sheet name="BS (Change)" sheetId="44" r:id="rId8"/>
    <sheet name="CFS (Change)" sheetId="46" r:id="rId9"/>
    <sheet name="Valuation" sheetId="40" r:id="rId10"/>
  </sheets>
  <definedNames>
    <definedName name="DATA">#REF!</definedName>
    <definedName name="DATA2">#REF!</definedName>
    <definedName name="_xlnm.Print_Area" localSheetId="1">'BS (Base-Case)'!$B$3:$AB$56</definedName>
    <definedName name="_xlnm.Print_Area" localSheetId="4">'BS (Bull-Case)'!$B$3:$AB$56</definedName>
    <definedName name="_xlnm.Print_Area" localSheetId="7">'BS (Change)'!$B$3:$AB$56</definedName>
    <definedName name="_xlnm.Print_Area" localSheetId="2">'CFS (Base-Case)'!$B$3:$AB$57</definedName>
    <definedName name="_xlnm.Print_Area" localSheetId="5">'CFS (Bull-Case)'!$B$3:$AB$57</definedName>
    <definedName name="_xlnm.Print_Area" localSheetId="8">'CFS (Change)'!$B$3:$AB$57</definedName>
    <definedName name="_xlnm.Print_Area" localSheetId="0">'IS (Base-Case)'!$B$1:$AB$316</definedName>
    <definedName name="_xlnm.Print_Area" localSheetId="3">'IS (Bull-Case)'!$B$1:$AB$316</definedName>
    <definedName name="_xlnm.Print_Area" localSheetId="6">'IS (Change)'!$B$1:$AB$316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68" i="41" l="1"/>
  <c r="AC68" i="41"/>
  <c r="AF63" i="41"/>
  <c r="AC63" i="41"/>
  <c r="AF61" i="41"/>
  <c r="AC61" i="41"/>
  <c r="AD68" i="36"/>
  <c r="AC68" i="36"/>
  <c r="AF63" i="36"/>
  <c r="AC63" i="36"/>
  <c r="AF61" i="36"/>
  <c r="AC61" i="36"/>
  <c r="R65" i="43"/>
  <c r="M65" i="43"/>
  <c r="AJ61" i="43"/>
  <c r="AF61" i="43"/>
  <c r="U56" i="43"/>
  <c r="T56" i="43"/>
  <c r="S56" i="43"/>
  <c r="Q56" i="43"/>
  <c r="P56" i="43"/>
  <c r="O56" i="43"/>
  <c r="N56" i="43"/>
  <c r="L56" i="43"/>
  <c r="K56" i="43"/>
  <c r="J56" i="43"/>
  <c r="I56" i="43"/>
  <c r="H56" i="43"/>
  <c r="G56" i="43"/>
  <c r="F56" i="43"/>
  <c r="E56" i="43"/>
  <c r="V37" i="43"/>
  <c r="X37" i="43" s="1"/>
  <c r="Y37" i="43" s="1"/>
  <c r="Z37" i="43" s="1"/>
  <c r="AA37" i="43" s="1"/>
  <c r="AC37" i="43" s="1"/>
  <c r="AD37" i="43" s="1"/>
  <c r="AE37" i="43" s="1"/>
  <c r="AF37" i="43" s="1"/>
  <c r="AH37" i="43" s="1"/>
  <c r="AI37" i="43" s="1"/>
  <c r="AJ37" i="43" s="1"/>
  <c r="AK37" i="43" s="1"/>
  <c r="AM37" i="43" s="1"/>
  <c r="AN37" i="43" s="1"/>
  <c r="AO37" i="43" s="1"/>
  <c r="AP37" i="43" s="1"/>
  <c r="AR37" i="43" s="1"/>
  <c r="AS37" i="43" s="1"/>
  <c r="AT37" i="43" s="1"/>
  <c r="AU37" i="43" s="1"/>
  <c r="AT22" i="43"/>
  <c r="AS22" i="43"/>
  <c r="AO22" i="43"/>
  <c r="AN22" i="43"/>
  <c r="AJ22" i="43"/>
  <c r="AI22" i="43"/>
  <c r="AE22" i="43"/>
  <c r="AD22" i="43"/>
  <c r="AA22" i="43"/>
  <c r="Z22" i="43"/>
  <c r="Y22" i="43"/>
  <c r="X22" i="43"/>
  <c r="V22" i="43"/>
  <c r="AT9" i="43"/>
  <c r="AS9" i="43"/>
  <c r="AO9" i="43"/>
  <c r="AN9" i="43"/>
  <c r="AJ9" i="43"/>
  <c r="AI9" i="43"/>
  <c r="AE9" i="43"/>
  <c r="AD9" i="43"/>
  <c r="AA9" i="43"/>
  <c r="Z9" i="43"/>
  <c r="Y9" i="43"/>
  <c r="X9" i="43"/>
  <c r="V9" i="43"/>
  <c r="AU8" i="43"/>
  <c r="AT8" i="43"/>
  <c r="AS8" i="43"/>
  <c r="AR8" i="43"/>
  <c r="AP8" i="43"/>
  <c r="AO8" i="43"/>
  <c r="AN8" i="43"/>
  <c r="AM8" i="43"/>
  <c r="AK8" i="43"/>
  <c r="AJ8" i="43"/>
  <c r="AI8" i="43"/>
  <c r="AH8" i="43"/>
  <c r="AF8" i="43"/>
  <c r="AE8" i="43"/>
  <c r="AD8" i="43"/>
  <c r="AC8" i="43"/>
  <c r="AA8" i="43"/>
  <c r="Z8" i="43"/>
  <c r="Y8" i="43"/>
  <c r="X8" i="43"/>
  <c r="V8" i="43"/>
  <c r="U6" i="43"/>
  <c r="T6" i="43"/>
  <c r="S6" i="43"/>
  <c r="Q6" i="43"/>
  <c r="P6" i="43"/>
  <c r="O6" i="43"/>
  <c r="N6" i="43"/>
  <c r="L6" i="43"/>
  <c r="K6" i="43"/>
  <c r="J6" i="43"/>
  <c r="I6" i="43"/>
  <c r="G6" i="43"/>
  <c r="F6" i="43"/>
  <c r="E6" i="43"/>
  <c r="D6" i="43"/>
  <c r="AK63" i="41" l="1"/>
  <c r="AJ63" i="41"/>
  <c r="AI63" i="41"/>
  <c r="AH63" i="41"/>
  <c r="AE63" i="41"/>
  <c r="AD63" i="41"/>
  <c r="AK61" i="41"/>
  <c r="AJ61" i="41"/>
  <c r="AI61" i="41"/>
  <c r="AH61" i="41"/>
  <c r="AE61" i="41"/>
  <c r="AD61" i="41"/>
  <c r="AK154" i="41"/>
  <c r="AF35" i="41"/>
  <c r="AA63" i="41" l="1"/>
  <c r="Z63" i="41"/>
  <c r="Y63" i="41"/>
  <c r="X63" i="41"/>
  <c r="AA61" i="41"/>
  <c r="Z61" i="41"/>
  <c r="Y61" i="41"/>
  <c r="X61" i="41"/>
  <c r="AK53" i="41"/>
  <c r="AJ53" i="41"/>
  <c r="AI53" i="41"/>
  <c r="AH53" i="41"/>
  <c r="AF53" i="41"/>
  <c r="AE53" i="41"/>
  <c r="AD53" i="41"/>
  <c r="AC53" i="41"/>
  <c r="AA53" i="41"/>
  <c r="Z53" i="41"/>
  <c r="Y53" i="41"/>
  <c r="X53" i="41"/>
  <c r="AK44" i="41"/>
  <c r="AJ44" i="41"/>
  <c r="AI44" i="41"/>
  <c r="AH44" i="41"/>
  <c r="AF44" i="41"/>
  <c r="AE44" i="41"/>
  <c r="AD44" i="41"/>
  <c r="AC44" i="41"/>
  <c r="AA44" i="41"/>
  <c r="Z44" i="41"/>
  <c r="Y44" i="41"/>
  <c r="X44" i="41"/>
  <c r="AE47" i="45" l="1"/>
  <c r="AD47" i="45"/>
  <c r="AC47" i="45"/>
  <c r="AB47" i="45"/>
  <c r="AA47" i="45"/>
  <c r="Z47" i="45"/>
  <c r="Y47" i="45"/>
  <c r="X47" i="45"/>
  <c r="W47" i="45"/>
  <c r="V47" i="45"/>
  <c r="U47" i="45"/>
  <c r="T47" i="45"/>
  <c r="S47" i="45"/>
  <c r="R47" i="45"/>
  <c r="R47" i="46" s="1"/>
  <c r="Q47" i="45"/>
  <c r="Q47" i="46" s="1"/>
  <c r="P47" i="45"/>
  <c r="O47" i="45"/>
  <c r="N47" i="45"/>
  <c r="M47" i="45"/>
  <c r="L47" i="45"/>
  <c r="K47" i="45"/>
  <c r="J47" i="45"/>
  <c r="I47" i="45"/>
  <c r="H47" i="45"/>
  <c r="G47" i="45"/>
  <c r="F47" i="45"/>
  <c r="E47" i="45"/>
  <c r="D47" i="45"/>
  <c r="U46" i="45"/>
  <c r="T46" i="45"/>
  <c r="S46" i="45"/>
  <c r="Q46" i="45"/>
  <c r="P46" i="45"/>
  <c r="O46" i="45"/>
  <c r="O46" i="46" s="1"/>
  <c r="N46" i="45"/>
  <c r="N46" i="46" s="1"/>
  <c r="L46" i="45"/>
  <c r="K46" i="45"/>
  <c r="J46" i="45"/>
  <c r="I46" i="45"/>
  <c r="G46" i="45"/>
  <c r="F46" i="45"/>
  <c r="E46" i="45"/>
  <c r="D46" i="45"/>
  <c r="AE29" i="45"/>
  <c r="AD29" i="45"/>
  <c r="AC29" i="45"/>
  <c r="AA29" i="45"/>
  <c r="Z29" i="45"/>
  <c r="Y29" i="45"/>
  <c r="X29" i="45"/>
  <c r="V29" i="45"/>
  <c r="V29" i="46" s="1"/>
  <c r="AU21" i="45"/>
  <c r="AT21" i="45"/>
  <c r="AS21" i="45"/>
  <c r="AR21" i="45"/>
  <c r="AP21" i="45"/>
  <c r="AO21" i="45"/>
  <c r="AO21" i="46" s="1"/>
  <c r="AN21" i="45"/>
  <c r="AQ21" i="45" s="1"/>
  <c r="AQ21" i="46" s="1"/>
  <c r="AM21" i="45"/>
  <c r="AK21" i="45"/>
  <c r="AJ21" i="45"/>
  <c r="AI21" i="45"/>
  <c r="AH21" i="45"/>
  <c r="AF21" i="45"/>
  <c r="AE21" i="45"/>
  <c r="AD21" i="45"/>
  <c r="AC21" i="45"/>
  <c r="AA21" i="45"/>
  <c r="Z21" i="45"/>
  <c r="Y21" i="45"/>
  <c r="X21" i="45"/>
  <c r="V21" i="45"/>
  <c r="AU20" i="45"/>
  <c r="AU20" i="46" s="1"/>
  <c r="AT20" i="45"/>
  <c r="AT20" i="46" s="1"/>
  <c r="AS20" i="45"/>
  <c r="AR20" i="45"/>
  <c r="AP20" i="45"/>
  <c r="AO20" i="45"/>
  <c r="AN20" i="45"/>
  <c r="AM20" i="45"/>
  <c r="AK20" i="45"/>
  <c r="AJ20" i="45"/>
  <c r="AI20" i="45"/>
  <c r="AH20" i="45"/>
  <c r="AF20" i="45"/>
  <c r="AE20" i="45"/>
  <c r="AD20" i="45"/>
  <c r="AC20" i="45"/>
  <c r="AA20" i="45"/>
  <c r="AA20" i="46" s="1"/>
  <c r="Z20" i="45"/>
  <c r="Z20" i="46" s="1"/>
  <c r="Y20" i="45"/>
  <c r="X20" i="45"/>
  <c r="V20" i="45"/>
  <c r="AU19" i="45"/>
  <c r="AT19" i="45"/>
  <c r="AS19" i="45"/>
  <c r="AR19" i="45"/>
  <c r="AP19" i="45"/>
  <c r="AO19" i="45"/>
  <c r="AN19" i="45"/>
  <c r="AM19" i="45"/>
  <c r="AK19" i="45"/>
  <c r="AJ19" i="45"/>
  <c r="AI19" i="45"/>
  <c r="AH19" i="45"/>
  <c r="AH19" i="46" s="1"/>
  <c r="AF19" i="45"/>
  <c r="AG19" i="45" s="1"/>
  <c r="AG19" i="46" s="1"/>
  <c r="AE19" i="45"/>
  <c r="AD19" i="45"/>
  <c r="AC19" i="45"/>
  <c r="AA19" i="45"/>
  <c r="Z19" i="45"/>
  <c r="Y19" i="45"/>
  <c r="X19" i="45"/>
  <c r="V19" i="45"/>
  <c r="AT18" i="45"/>
  <c r="AO18" i="45"/>
  <c r="AJ18" i="45"/>
  <c r="AE18" i="45"/>
  <c r="AA18" i="45"/>
  <c r="Z18" i="45"/>
  <c r="Y18" i="45"/>
  <c r="X18" i="45"/>
  <c r="V18" i="45"/>
  <c r="AU17" i="45"/>
  <c r="AT17" i="45"/>
  <c r="AT17" i="46" s="1"/>
  <c r="AS17" i="45"/>
  <c r="AS17" i="46" s="1"/>
  <c r="AR17" i="45"/>
  <c r="AP17" i="45"/>
  <c r="AO17" i="45"/>
  <c r="AN17" i="45"/>
  <c r="AM17" i="45"/>
  <c r="AK17" i="45"/>
  <c r="AJ17" i="45"/>
  <c r="AI17" i="45"/>
  <c r="AH17" i="45"/>
  <c r="AF17" i="45"/>
  <c r="AE17" i="45"/>
  <c r="AD17" i="45"/>
  <c r="AC17" i="45"/>
  <c r="AA17" i="45"/>
  <c r="Z17" i="45"/>
  <c r="Z17" i="46" s="1"/>
  <c r="Y17" i="45"/>
  <c r="Y17" i="46" s="1"/>
  <c r="X17" i="45"/>
  <c r="V17" i="45"/>
  <c r="AT16" i="45"/>
  <c r="AO16" i="45"/>
  <c r="AJ16" i="45"/>
  <c r="AE16" i="45"/>
  <c r="AA16" i="45"/>
  <c r="Z16" i="45"/>
  <c r="Y16" i="45"/>
  <c r="X16" i="45"/>
  <c r="V16" i="45"/>
  <c r="AU15" i="45"/>
  <c r="AT15" i="45"/>
  <c r="AS15" i="45"/>
  <c r="AR15" i="45"/>
  <c r="AP15" i="45"/>
  <c r="AO15" i="45"/>
  <c r="AN15" i="45"/>
  <c r="AM15" i="45"/>
  <c r="AQ15" i="45" s="1"/>
  <c r="AQ15" i="46" s="1"/>
  <c r="AK15" i="45"/>
  <c r="AL15" i="45" s="1"/>
  <c r="AL15" i="46" s="1"/>
  <c r="AJ15" i="45"/>
  <c r="AI15" i="45"/>
  <c r="AH15" i="45"/>
  <c r="AF15" i="45"/>
  <c r="AE15" i="45"/>
  <c r="AD15" i="45"/>
  <c r="AC15" i="45"/>
  <c r="AA15" i="45"/>
  <c r="Z15" i="45"/>
  <c r="Y15" i="45"/>
  <c r="X15" i="45"/>
  <c r="V15" i="45"/>
  <c r="AU8" i="45"/>
  <c r="AT8" i="45"/>
  <c r="AS8" i="45"/>
  <c r="AS8" i="46" s="1"/>
  <c r="AR8" i="45"/>
  <c r="AV8" i="45" s="1"/>
  <c r="AV8" i="46" s="1"/>
  <c r="AP8" i="45"/>
  <c r="AO8" i="45"/>
  <c r="AN8" i="45"/>
  <c r="AM8" i="45"/>
  <c r="AK8" i="45"/>
  <c r="AJ8" i="45"/>
  <c r="AI8" i="45"/>
  <c r="AH8" i="45"/>
  <c r="AF8" i="45"/>
  <c r="AE8" i="45"/>
  <c r="AD8" i="45"/>
  <c r="AC8" i="45"/>
  <c r="AA8" i="45"/>
  <c r="Z8" i="45"/>
  <c r="Y8" i="45"/>
  <c r="Y8" i="46" s="1"/>
  <c r="X8" i="45"/>
  <c r="AB8" i="45" s="1"/>
  <c r="AB8" i="46" s="1"/>
  <c r="V8" i="45"/>
  <c r="AL64" i="45"/>
  <c r="U56" i="45"/>
  <c r="T56" i="45"/>
  <c r="S56" i="45"/>
  <c r="R56" i="45"/>
  <c r="Q56" i="45"/>
  <c r="P56" i="45"/>
  <c r="O56" i="45"/>
  <c r="O56" i="46" s="1"/>
  <c r="N56" i="45"/>
  <c r="M56" i="45"/>
  <c r="L56" i="45"/>
  <c r="K56" i="45"/>
  <c r="J56" i="45"/>
  <c r="I56" i="45"/>
  <c r="H56" i="45"/>
  <c r="G56" i="45"/>
  <c r="F56" i="45"/>
  <c r="E56" i="45"/>
  <c r="D56" i="45"/>
  <c r="U53" i="45"/>
  <c r="T53" i="45"/>
  <c r="S53" i="45"/>
  <c r="R53" i="45"/>
  <c r="Q53" i="45"/>
  <c r="Q53" i="46" s="1"/>
  <c r="P53" i="45"/>
  <c r="O53" i="45"/>
  <c r="N53" i="45"/>
  <c r="M53" i="45"/>
  <c r="L53" i="45"/>
  <c r="K53" i="45"/>
  <c r="J53" i="45"/>
  <c r="I53" i="45"/>
  <c r="H53" i="45"/>
  <c r="G53" i="45"/>
  <c r="F53" i="45"/>
  <c r="E53" i="45"/>
  <c r="D53" i="45"/>
  <c r="U48" i="45"/>
  <c r="T48" i="45"/>
  <c r="S48" i="45"/>
  <c r="P48" i="45"/>
  <c r="P48" i="46" s="1"/>
  <c r="N48" i="45"/>
  <c r="N48" i="46" s="1"/>
  <c r="L48" i="45"/>
  <c r="K48" i="45"/>
  <c r="J48" i="45"/>
  <c r="I48" i="45"/>
  <c r="G48" i="45"/>
  <c r="F48" i="45"/>
  <c r="E48" i="45"/>
  <c r="D48" i="45"/>
  <c r="AU34" i="45"/>
  <c r="AT34" i="45"/>
  <c r="AS34" i="45"/>
  <c r="AR34" i="45"/>
  <c r="AP34" i="45"/>
  <c r="AO34" i="45"/>
  <c r="AN34" i="45"/>
  <c r="AM34" i="45"/>
  <c r="AJ34" i="45"/>
  <c r="AI34" i="45"/>
  <c r="AH34" i="45"/>
  <c r="AF34" i="45"/>
  <c r="AE34" i="45"/>
  <c r="AE57" i="45" s="1"/>
  <c r="AE57" i="46" s="1"/>
  <c r="AD34" i="45"/>
  <c r="AC34" i="45"/>
  <c r="AA34" i="45"/>
  <c r="Z34" i="45"/>
  <c r="Y34" i="45"/>
  <c r="X34" i="45"/>
  <c r="V34" i="45"/>
  <c r="AF33" i="45"/>
  <c r="AE33" i="45"/>
  <c r="AD33" i="45"/>
  <c r="AC33" i="45"/>
  <c r="AA33" i="45"/>
  <c r="AB33" i="45" s="1"/>
  <c r="AB33" i="46" s="1"/>
  <c r="Z33" i="45"/>
  <c r="Y33" i="45"/>
  <c r="X33" i="45"/>
  <c r="V33" i="45"/>
  <c r="V25" i="45"/>
  <c r="AU9" i="45"/>
  <c r="AT9" i="45"/>
  <c r="AT10" i="45" s="1"/>
  <c r="AT10" i="46" s="1"/>
  <c r="AS9" i="45"/>
  <c r="AR9" i="45"/>
  <c r="AP9" i="45"/>
  <c r="AO9" i="45"/>
  <c r="AN9" i="45"/>
  <c r="AM9" i="45"/>
  <c r="AK9" i="45"/>
  <c r="AJ9" i="45"/>
  <c r="AI9" i="45"/>
  <c r="AH9" i="45"/>
  <c r="AF9" i="45"/>
  <c r="AE9" i="45"/>
  <c r="AD9" i="45"/>
  <c r="AC9" i="45"/>
  <c r="AA9" i="45"/>
  <c r="Z9" i="45"/>
  <c r="Z10" i="45" s="1"/>
  <c r="Z10" i="46" s="1"/>
  <c r="Y9" i="45"/>
  <c r="X9" i="45"/>
  <c r="V9" i="45"/>
  <c r="U148" i="41"/>
  <c r="T148" i="41"/>
  <c r="S148" i="41"/>
  <c r="R148" i="41"/>
  <c r="Q148" i="41"/>
  <c r="Q148" i="42" s="1"/>
  <c r="P148" i="41"/>
  <c r="O148" i="41"/>
  <c r="N148" i="41"/>
  <c r="M148" i="41"/>
  <c r="L148" i="41"/>
  <c r="K148" i="41"/>
  <c r="J148" i="41"/>
  <c r="I148" i="41"/>
  <c r="U145" i="41"/>
  <c r="T145" i="41"/>
  <c r="S145" i="41"/>
  <c r="Q145" i="41"/>
  <c r="P145" i="41"/>
  <c r="O145" i="41"/>
  <c r="N145" i="41"/>
  <c r="L145" i="41"/>
  <c r="K145" i="41"/>
  <c r="J145" i="41"/>
  <c r="I145" i="41"/>
  <c r="G145" i="41"/>
  <c r="F145" i="41"/>
  <c r="E145" i="41"/>
  <c r="U144" i="41"/>
  <c r="T144" i="41"/>
  <c r="T144" i="42" s="1"/>
  <c r="S144" i="41"/>
  <c r="Q144" i="41"/>
  <c r="P144" i="41"/>
  <c r="O144" i="41"/>
  <c r="N144" i="41"/>
  <c r="L144" i="41"/>
  <c r="K144" i="41"/>
  <c r="J144" i="41"/>
  <c r="I144" i="41"/>
  <c r="G144" i="41"/>
  <c r="F144" i="41"/>
  <c r="E144" i="41"/>
  <c r="X22" i="41"/>
  <c r="X53" i="42"/>
  <c r="Z44" i="42"/>
  <c r="AL64" i="46"/>
  <c r="AL63" i="46"/>
  <c r="AL62" i="46"/>
  <c r="AL60" i="46"/>
  <c r="AV58" i="46"/>
  <c r="AU58" i="46"/>
  <c r="AT58" i="46"/>
  <c r="AS58" i="46"/>
  <c r="AR58" i="46"/>
  <c r="AQ58" i="46"/>
  <c r="AP58" i="46"/>
  <c r="AO58" i="46"/>
  <c r="AN58" i="46"/>
  <c r="AM58" i="46"/>
  <c r="W58" i="46"/>
  <c r="V58" i="46"/>
  <c r="U58" i="46"/>
  <c r="T58" i="46"/>
  <c r="S58" i="46"/>
  <c r="R58" i="46"/>
  <c r="Q58" i="46"/>
  <c r="P58" i="46"/>
  <c r="O58" i="46"/>
  <c r="N58" i="46"/>
  <c r="M58" i="46"/>
  <c r="L58" i="46"/>
  <c r="K58" i="46"/>
  <c r="J58" i="46"/>
  <c r="I58" i="46"/>
  <c r="H58" i="46"/>
  <c r="G58" i="46"/>
  <c r="F58" i="46"/>
  <c r="E58" i="46"/>
  <c r="D58" i="46"/>
  <c r="U57" i="46"/>
  <c r="T57" i="46"/>
  <c r="S57" i="46"/>
  <c r="R57" i="46"/>
  <c r="Q57" i="46"/>
  <c r="P57" i="46"/>
  <c r="O57" i="46"/>
  <c r="N57" i="46"/>
  <c r="M57" i="46"/>
  <c r="L57" i="46"/>
  <c r="K57" i="46"/>
  <c r="J57" i="46"/>
  <c r="I57" i="46"/>
  <c r="H57" i="46"/>
  <c r="G57" i="46"/>
  <c r="F57" i="46"/>
  <c r="E57" i="46"/>
  <c r="D57" i="46"/>
  <c r="AH56" i="46"/>
  <c r="AC56" i="46"/>
  <c r="X56" i="46"/>
  <c r="V56" i="46"/>
  <c r="U56" i="46"/>
  <c r="T56" i="46"/>
  <c r="S56" i="46"/>
  <c r="R56" i="46"/>
  <c r="Q56" i="46"/>
  <c r="P56" i="46"/>
  <c r="N56" i="46"/>
  <c r="M56" i="46"/>
  <c r="L56" i="46"/>
  <c r="K56" i="46"/>
  <c r="J56" i="46"/>
  <c r="I56" i="46"/>
  <c r="H56" i="46"/>
  <c r="G56" i="46"/>
  <c r="F56" i="46"/>
  <c r="E56" i="46"/>
  <c r="D56" i="46"/>
  <c r="U55" i="46"/>
  <c r="T55" i="46"/>
  <c r="S55" i="46"/>
  <c r="R55" i="46"/>
  <c r="Q55" i="46"/>
  <c r="P55" i="46"/>
  <c r="O55" i="46"/>
  <c r="N55" i="46"/>
  <c r="M55" i="46"/>
  <c r="L55" i="46"/>
  <c r="K55" i="46"/>
  <c r="J55" i="46"/>
  <c r="I55" i="46"/>
  <c r="H55" i="46"/>
  <c r="G55" i="46"/>
  <c r="F55" i="46"/>
  <c r="E55" i="46"/>
  <c r="D55" i="46"/>
  <c r="AV54" i="46"/>
  <c r="AU54" i="46"/>
  <c r="AT54" i="46"/>
  <c r="AS54" i="46"/>
  <c r="AR54" i="46"/>
  <c r="AQ54" i="46"/>
  <c r="AP54" i="46"/>
  <c r="AO54" i="46"/>
  <c r="AN54" i="46"/>
  <c r="AM54" i="46"/>
  <c r="AL54" i="46"/>
  <c r="AK54" i="46"/>
  <c r="AJ54" i="46"/>
  <c r="AI54" i="46"/>
  <c r="AH54" i="46"/>
  <c r="AG54" i="46"/>
  <c r="AF54" i="46"/>
  <c r="AE54" i="46"/>
  <c r="AD54" i="46"/>
  <c r="AC54" i="46"/>
  <c r="AB54" i="46"/>
  <c r="AA54" i="46"/>
  <c r="Z54" i="46"/>
  <c r="Y54" i="46"/>
  <c r="X54" i="46"/>
  <c r="W54" i="46"/>
  <c r="V54" i="46"/>
  <c r="U54" i="46"/>
  <c r="T54" i="46"/>
  <c r="S54" i="46"/>
  <c r="R54" i="46"/>
  <c r="Q54" i="46"/>
  <c r="P54" i="46"/>
  <c r="O54" i="46"/>
  <c r="N54" i="46"/>
  <c r="M54" i="46"/>
  <c r="L54" i="46"/>
  <c r="K54" i="46"/>
  <c r="J54" i="46"/>
  <c r="I54" i="46"/>
  <c r="H54" i="46"/>
  <c r="G54" i="46"/>
  <c r="F54" i="46"/>
  <c r="E54" i="46"/>
  <c r="D54" i="46"/>
  <c r="AV53" i="46"/>
  <c r="AQ53" i="46"/>
  <c r="AL53" i="46"/>
  <c r="AG53" i="46"/>
  <c r="AB53" i="46"/>
  <c r="W53" i="46"/>
  <c r="U53" i="46"/>
  <c r="T53" i="46"/>
  <c r="S53" i="46"/>
  <c r="R53" i="46"/>
  <c r="P53" i="46"/>
  <c r="O53" i="46"/>
  <c r="N53" i="46"/>
  <c r="M53" i="46"/>
  <c r="L53" i="46"/>
  <c r="K53" i="46"/>
  <c r="J53" i="46"/>
  <c r="I53" i="46"/>
  <c r="H53" i="46"/>
  <c r="G53" i="46"/>
  <c r="F53" i="46"/>
  <c r="E53" i="46"/>
  <c r="D53" i="46"/>
  <c r="U48" i="46"/>
  <c r="T48" i="46"/>
  <c r="S48" i="46"/>
  <c r="L48" i="46"/>
  <c r="K48" i="46"/>
  <c r="J48" i="46"/>
  <c r="I48" i="46"/>
  <c r="G48" i="46"/>
  <c r="F48" i="46"/>
  <c r="E48" i="46"/>
  <c r="AE47" i="46"/>
  <c r="AD47" i="46"/>
  <c r="AC47" i="46"/>
  <c r="AB47" i="46"/>
  <c r="AA47" i="46"/>
  <c r="Z47" i="46"/>
  <c r="Y47" i="46"/>
  <c r="X47" i="46"/>
  <c r="W47" i="46"/>
  <c r="V47" i="46"/>
  <c r="U47" i="46"/>
  <c r="T47" i="46"/>
  <c r="S47" i="46"/>
  <c r="P47" i="46"/>
  <c r="O47" i="46"/>
  <c r="N47" i="46"/>
  <c r="M47" i="46"/>
  <c r="L47" i="46"/>
  <c r="K47" i="46"/>
  <c r="J47" i="46"/>
  <c r="I47" i="46"/>
  <c r="H47" i="46"/>
  <c r="G47" i="46"/>
  <c r="F47" i="46"/>
  <c r="E47" i="46"/>
  <c r="U46" i="46"/>
  <c r="T46" i="46"/>
  <c r="S46" i="46"/>
  <c r="Q46" i="46"/>
  <c r="P46" i="46"/>
  <c r="L46" i="46"/>
  <c r="K46" i="46"/>
  <c r="J46" i="46"/>
  <c r="I46" i="46"/>
  <c r="G46" i="46"/>
  <c r="F46" i="46"/>
  <c r="E46" i="46"/>
  <c r="AV45" i="46"/>
  <c r="AU45" i="46"/>
  <c r="AT45" i="46"/>
  <c r="AS45" i="46"/>
  <c r="AR45" i="46"/>
  <c r="AQ45" i="46"/>
  <c r="AP45" i="46"/>
  <c r="AO45" i="46"/>
  <c r="AN45" i="46"/>
  <c r="AM45" i="46"/>
  <c r="AL45" i="46"/>
  <c r="AK45" i="46"/>
  <c r="AJ45" i="46"/>
  <c r="AI45" i="46"/>
  <c r="AH45" i="46"/>
  <c r="AG45" i="46"/>
  <c r="AF45" i="46"/>
  <c r="AE45" i="46"/>
  <c r="AD45" i="46"/>
  <c r="AC45" i="46"/>
  <c r="AB45" i="46"/>
  <c r="AA45" i="46"/>
  <c r="Z45" i="46"/>
  <c r="Y45" i="46"/>
  <c r="X45" i="46"/>
  <c r="W45" i="46"/>
  <c r="V45" i="46"/>
  <c r="U45" i="46"/>
  <c r="T45" i="46"/>
  <c r="S45" i="46"/>
  <c r="R45" i="46"/>
  <c r="Q45" i="46"/>
  <c r="P45" i="46"/>
  <c r="O45" i="46"/>
  <c r="N45" i="46"/>
  <c r="M45" i="46"/>
  <c r="L45" i="46"/>
  <c r="K45" i="46"/>
  <c r="J45" i="46"/>
  <c r="I45" i="46"/>
  <c r="H45" i="46"/>
  <c r="G45" i="46"/>
  <c r="F45" i="46"/>
  <c r="E45" i="46"/>
  <c r="AV44" i="46"/>
  <c r="AU44" i="46"/>
  <c r="AT44" i="46"/>
  <c r="AS44" i="46"/>
  <c r="AR44" i="46"/>
  <c r="AQ44" i="46"/>
  <c r="AP44" i="46"/>
  <c r="AO44" i="46"/>
  <c r="AN44" i="46"/>
  <c r="AM44" i="46"/>
  <c r="AL44" i="46"/>
  <c r="AK44" i="46"/>
  <c r="AJ44" i="46"/>
  <c r="AI44" i="46"/>
  <c r="AH44" i="46"/>
  <c r="AG44" i="46"/>
  <c r="AF44" i="46"/>
  <c r="AE44" i="46"/>
  <c r="AD44" i="46"/>
  <c r="AC44" i="46"/>
  <c r="AB44" i="46"/>
  <c r="AA44" i="46"/>
  <c r="Z44" i="46"/>
  <c r="Y44" i="46"/>
  <c r="X44" i="46"/>
  <c r="W44" i="46"/>
  <c r="V44" i="46"/>
  <c r="U44" i="46"/>
  <c r="T44" i="46"/>
  <c r="S44" i="46"/>
  <c r="R44" i="46"/>
  <c r="Q44" i="46"/>
  <c r="P44" i="46"/>
  <c r="O44" i="46"/>
  <c r="N44" i="46"/>
  <c r="M44" i="46"/>
  <c r="L44" i="46"/>
  <c r="K44" i="46"/>
  <c r="J44" i="46"/>
  <c r="I44" i="46"/>
  <c r="H44" i="46"/>
  <c r="G44" i="46"/>
  <c r="F44" i="46"/>
  <c r="E44" i="46"/>
  <c r="AV43" i="46"/>
  <c r="AU43" i="46"/>
  <c r="AT43" i="46"/>
  <c r="AS43" i="46"/>
  <c r="AR43" i="46"/>
  <c r="AQ43" i="46"/>
  <c r="AP43" i="46"/>
  <c r="AO43" i="46"/>
  <c r="AN43" i="46"/>
  <c r="AM43" i="46"/>
  <c r="AL43" i="46"/>
  <c r="AK43" i="46"/>
  <c r="AJ43" i="46"/>
  <c r="AI43" i="46"/>
  <c r="AH43" i="46"/>
  <c r="AG43" i="46"/>
  <c r="AF43" i="46"/>
  <c r="AE43" i="46"/>
  <c r="AD43" i="46"/>
  <c r="AC43" i="46"/>
  <c r="AB43" i="46"/>
  <c r="AA43" i="46"/>
  <c r="Z43" i="46"/>
  <c r="Y43" i="46"/>
  <c r="X43" i="46"/>
  <c r="W43" i="46"/>
  <c r="V43" i="46"/>
  <c r="U43" i="46"/>
  <c r="T43" i="46"/>
  <c r="S43" i="46"/>
  <c r="R43" i="46"/>
  <c r="Q43" i="46"/>
  <c r="P43" i="46"/>
  <c r="O43" i="46"/>
  <c r="N43" i="46"/>
  <c r="M43" i="46"/>
  <c r="L43" i="46"/>
  <c r="K43" i="46"/>
  <c r="J43" i="46"/>
  <c r="I43" i="46"/>
  <c r="H43" i="46"/>
  <c r="G43" i="46"/>
  <c r="F43" i="46"/>
  <c r="E43" i="46"/>
  <c r="AV42" i="46"/>
  <c r="AU42" i="46"/>
  <c r="AT42" i="46"/>
  <c r="AS42" i="46"/>
  <c r="AR42" i="46"/>
  <c r="AQ42" i="46"/>
  <c r="AP42" i="46"/>
  <c r="AO42" i="46"/>
  <c r="AN42" i="46"/>
  <c r="AM42" i="46"/>
  <c r="AL42" i="46"/>
  <c r="AK42" i="46"/>
  <c r="AJ42" i="46"/>
  <c r="AI42" i="46"/>
  <c r="AH42" i="46"/>
  <c r="AG42" i="46"/>
  <c r="AF42" i="46"/>
  <c r="AE42" i="46"/>
  <c r="AD42" i="46"/>
  <c r="AC42" i="46"/>
  <c r="AB42" i="46"/>
  <c r="AA42" i="46"/>
  <c r="Z42" i="46"/>
  <c r="Y42" i="46"/>
  <c r="X42" i="46"/>
  <c r="W42" i="46"/>
  <c r="V42" i="46"/>
  <c r="U42" i="46"/>
  <c r="T42" i="46"/>
  <c r="S42" i="46"/>
  <c r="R42" i="46"/>
  <c r="Q42" i="46"/>
  <c r="P42" i="46"/>
  <c r="O42" i="46"/>
  <c r="N42" i="46"/>
  <c r="M42" i="46"/>
  <c r="L42" i="46"/>
  <c r="K42" i="46"/>
  <c r="J42" i="46"/>
  <c r="I42" i="46"/>
  <c r="H42" i="46"/>
  <c r="G42" i="46"/>
  <c r="F42" i="46"/>
  <c r="E42" i="46"/>
  <c r="U41" i="46"/>
  <c r="T41" i="46"/>
  <c r="S41" i="46"/>
  <c r="R41" i="46"/>
  <c r="Q41" i="46"/>
  <c r="P41" i="46"/>
  <c r="O41" i="46"/>
  <c r="N41" i="46"/>
  <c r="M41" i="46"/>
  <c r="L41" i="46"/>
  <c r="K41" i="46"/>
  <c r="J41" i="46"/>
  <c r="I41" i="46"/>
  <c r="H41" i="46"/>
  <c r="G41" i="46"/>
  <c r="F41" i="46"/>
  <c r="E41" i="46"/>
  <c r="W40" i="46"/>
  <c r="V40" i="46"/>
  <c r="U40" i="46"/>
  <c r="T40" i="46"/>
  <c r="S40" i="46"/>
  <c r="R40" i="46"/>
  <c r="Q40" i="46"/>
  <c r="P40" i="46"/>
  <c r="O40" i="46"/>
  <c r="N40" i="46"/>
  <c r="M40" i="46"/>
  <c r="L40" i="46"/>
  <c r="K40" i="46"/>
  <c r="J40" i="46"/>
  <c r="I40" i="46"/>
  <c r="H40" i="46"/>
  <c r="G40" i="46"/>
  <c r="F40" i="46"/>
  <c r="E40" i="46"/>
  <c r="U39" i="46"/>
  <c r="T39" i="46"/>
  <c r="S39" i="46"/>
  <c r="R39" i="46"/>
  <c r="Q39" i="46"/>
  <c r="P39" i="46"/>
  <c r="O39" i="46"/>
  <c r="N39" i="46"/>
  <c r="M39" i="46"/>
  <c r="L39" i="46"/>
  <c r="K39" i="46"/>
  <c r="J39" i="46"/>
  <c r="I39" i="46"/>
  <c r="H39" i="46"/>
  <c r="G39" i="46"/>
  <c r="F39" i="46"/>
  <c r="E39" i="46"/>
  <c r="AV38" i="46"/>
  <c r="AU38" i="46"/>
  <c r="AT38" i="46"/>
  <c r="AS38" i="46"/>
  <c r="AR38" i="46"/>
  <c r="AQ38" i="46"/>
  <c r="AP38" i="46"/>
  <c r="AO38" i="46"/>
  <c r="AN38" i="46"/>
  <c r="AM38" i="46"/>
  <c r="AL38" i="46"/>
  <c r="AK38" i="46"/>
  <c r="AJ38" i="46"/>
  <c r="AI38" i="46"/>
  <c r="AH38" i="46"/>
  <c r="AG38" i="46"/>
  <c r="AF38" i="46"/>
  <c r="AE38" i="46"/>
  <c r="AD38" i="46"/>
  <c r="AC38" i="46"/>
  <c r="AB38" i="46"/>
  <c r="AA38" i="46"/>
  <c r="Z38" i="46"/>
  <c r="Y38" i="46"/>
  <c r="X38" i="46"/>
  <c r="W38" i="46"/>
  <c r="V38" i="46"/>
  <c r="U38" i="46"/>
  <c r="T38" i="46"/>
  <c r="S38" i="46"/>
  <c r="R38" i="46"/>
  <c r="Q38" i="46"/>
  <c r="P38" i="46"/>
  <c r="O38" i="46"/>
  <c r="N38" i="46"/>
  <c r="M38" i="46"/>
  <c r="L38" i="46"/>
  <c r="K38" i="46"/>
  <c r="J38" i="46"/>
  <c r="I38" i="46"/>
  <c r="H38" i="46"/>
  <c r="G38" i="46"/>
  <c r="F38" i="46"/>
  <c r="E38" i="46"/>
  <c r="U37" i="46"/>
  <c r="T37" i="46"/>
  <c r="S37" i="46"/>
  <c r="R37" i="46"/>
  <c r="Q37" i="46"/>
  <c r="P37" i="46"/>
  <c r="O37" i="46"/>
  <c r="N37" i="46"/>
  <c r="M37" i="46"/>
  <c r="L37" i="46"/>
  <c r="K37" i="46"/>
  <c r="J37" i="46"/>
  <c r="I37" i="46"/>
  <c r="H37" i="46"/>
  <c r="G37" i="46"/>
  <c r="F37" i="46"/>
  <c r="E37" i="46"/>
  <c r="AV36" i="46"/>
  <c r="AU36" i="46"/>
  <c r="AT36" i="46"/>
  <c r="AS36" i="46"/>
  <c r="AR36" i="46"/>
  <c r="AQ36" i="46"/>
  <c r="AP36" i="46"/>
  <c r="AO36" i="46"/>
  <c r="AN36" i="46"/>
  <c r="AM36" i="46"/>
  <c r="AL36" i="46"/>
  <c r="AK36" i="46"/>
  <c r="AJ36" i="46"/>
  <c r="AI36" i="46"/>
  <c r="AH36" i="46"/>
  <c r="AG36" i="46"/>
  <c r="AF36" i="46"/>
  <c r="AE36" i="46"/>
  <c r="AD36" i="46"/>
  <c r="AC36" i="46"/>
  <c r="AB36" i="46"/>
  <c r="AA36" i="46"/>
  <c r="Z36" i="46"/>
  <c r="Y36" i="46"/>
  <c r="X36" i="46"/>
  <c r="W36" i="46"/>
  <c r="V36" i="46"/>
  <c r="U36" i="46"/>
  <c r="T36" i="46"/>
  <c r="S36" i="46"/>
  <c r="R36" i="46"/>
  <c r="Q36" i="46"/>
  <c r="P36" i="46"/>
  <c r="O36" i="46"/>
  <c r="N36" i="46"/>
  <c r="M36" i="46"/>
  <c r="L36" i="46"/>
  <c r="K36" i="46"/>
  <c r="J36" i="46"/>
  <c r="I36" i="46"/>
  <c r="H36" i="46"/>
  <c r="G36" i="46"/>
  <c r="F36" i="46"/>
  <c r="E36" i="46"/>
  <c r="U35" i="46"/>
  <c r="T35" i="46"/>
  <c r="S35" i="46"/>
  <c r="R35" i="46"/>
  <c r="Q35" i="46"/>
  <c r="P35" i="46"/>
  <c r="O35" i="46"/>
  <c r="N35" i="46"/>
  <c r="M35" i="46"/>
  <c r="L35" i="46"/>
  <c r="K35" i="46"/>
  <c r="J35" i="46"/>
  <c r="I35" i="46"/>
  <c r="H35" i="46"/>
  <c r="G35" i="46"/>
  <c r="F35" i="46"/>
  <c r="E35" i="46"/>
  <c r="AU34" i="46"/>
  <c r="AT34" i="46"/>
  <c r="AS34" i="46"/>
  <c r="AR34" i="46"/>
  <c r="AP34" i="46"/>
  <c r="AO34" i="46"/>
  <c r="AN34" i="46"/>
  <c r="AM34" i="46"/>
  <c r="AI34" i="46"/>
  <c r="AH34" i="46"/>
  <c r="AF34" i="46"/>
  <c r="AD34" i="46"/>
  <c r="AC34" i="46"/>
  <c r="AA34" i="46"/>
  <c r="Z34" i="46"/>
  <c r="Y34" i="46"/>
  <c r="X34" i="46"/>
  <c r="V34" i="46"/>
  <c r="U34" i="46"/>
  <c r="T34" i="46"/>
  <c r="S34" i="46"/>
  <c r="R34" i="46"/>
  <c r="Q34" i="46"/>
  <c r="P34" i="46"/>
  <c r="O34" i="46"/>
  <c r="N34" i="46"/>
  <c r="M34" i="46"/>
  <c r="L34" i="46"/>
  <c r="K34" i="46"/>
  <c r="J34" i="46"/>
  <c r="I34" i="46"/>
  <c r="H34" i="46"/>
  <c r="G34" i="46"/>
  <c r="F34" i="46"/>
  <c r="E34" i="46"/>
  <c r="AF33" i="46"/>
  <c r="AE33" i="46"/>
  <c r="AD33" i="46"/>
  <c r="AC33" i="46"/>
  <c r="Z33" i="46"/>
  <c r="Y33" i="46"/>
  <c r="X33" i="46"/>
  <c r="V33" i="46"/>
  <c r="U33" i="46"/>
  <c r="T33" i="46"/>
  <c r="S33" i="46"/>
  <c r="R33" i="46"/>
  <c r="Q33" i="46"/>
  <c r="P33" i="46"/>
  <c r="O33" i="46"/>
  <c r="N33" i="46"/>
  <c r="M33" i="46"/>
  <c r="L33" i="46"/>
  <c r="K33" i="46"/>
  <c r="J33" i="46"/>
  <c r="I33" i="46"/>
  <c r="H33" i="46"/>
  <c r="G33" i="46"/>
  <c r="F33" i="46"/>
  <c r="E33" i="46"/>
  <c r="AV32" i="46"/>
  <c r="AU32" i="46"/>
  <c r="AT32" i="46"/>
  <c r="AS32" i="46"/>
  <c r="AR32" i="46"/>
  <c r="AQ32" i="46"/>
  <c r="AP32" i="46"/>
  <c r="AO32" i="46"/>
  <c r="AN32" i="46"/>
  <c r="AM32" i="46"/>
  <c r="AL32" i="46"/>
  <c r="AK32" i="46"/>
  <c r="AJ32" i="46"/>
  <c r="AI32" i="46"/>
  <c r="AH32" i="46"/>
  <c r="AG32" i="46"/>
  <c r="AF32" i="46"/>
  <c r="AE32" i="46"/>
  <c r="AD32" i="46"/>
  <c r="AC32" i="46"/>
  <c r="AB32" i="46"/>
  <c r="AA32" i="46"/>
  <c r="Z32" i="46"/>
  <c r="Y32" i="46"/>
  <c r="X32" i="46"/>
  <c r="W32" i="46"/>
  <c r="V32" i="46"/>
  <c r="U32" i="46"/>
  <c r="T32" i="46"/>
  <c r="S32" i="46"/>
  <c r="R32" i="46"/>
  <c r="Q32" i="46"/>
  <c r="P32" i="46"/>
  <c r="O32" i="46"/>
  <c r="N32" i="46"/>
  <c r="M32" i="46"/>
  <c r="L32" i="46"/>
  <c r="K32" i="46"/>
  <c r="J32" i="46"/>
  <c r="I32" i="46"/>
  <c r="H32" i="46"/>
  <c r="G32" i="46"/>
  <c r="F32" i="46"/>
  <c r="E32" i="46"/>
  <c r="AV31" i="46"/>
  <c r="AU31" i="46"/>
  <c r="AT31" i="46"/>
  <c r="AS31" i="46"/>
  <c r="AR31" i="46"/>
  <c r="AQ31" i="46"/>
  <c r="AP31" i="46"/>
  <c r="AO31" i="46"/>
  <c r="AN31" i="46"/>
  <c r="AM31" i="46"/>
  <c r="AL31" i="46"/>
  <c r="AK31" i="46"/>
  <c r="AJ31" i="46"/>
  <c r="AI31" i="46"/>
  <c r="AH31" i="46"/>
  <c r="AG31" i="46"/>
  <c r="AF31" i="46"/>
  <c r="AE31" i="46"/>
  <c r="AD31" i="46"/>
  <c r="AC31" i="46"/>
  <c r="AB31" i="46"/>
  <c r="AA31" i="46"/>
  <c r="Z31" i="46"/>
  <c r="Y31" i="46"/>
  <c r="X31" i="46"/>
  <c r="W31" i="46"/>
  <c r="V31" i="46"/>
  <c r="U31" i="46"/>
  <c r="T31" i="46"/>
  <c r="S31" i="46"/>
  <c r="R31" i="46"/>
  <c r="Q31" i="46"/>
  <c r="P31" i="46"/>
  <c r="O31" i="46"/>
  <c r="N31" i="46"/>
  <c r="M31" i="46"/>
  <c r="L31" i="46"/>
  <c r="K31" i="46"/>
  <c r="J31" i="46"/>
  <c r="I31" i="46"/>
  <c r="H31" i="46"/>
  <c r="G31" i="46"/>
  <c r="F31" i="46"/>
  <c r="E31" i="46"/>
  <c r="AV30" i="46"/>
  <c r="AU30" i="46"/>
  <c r="AT30" i="46"/>
  <c r="AS30" i="46"/>
  <c r="AR30" i="46"/>
  <c r="AQ30" i="46"/>
  <c r="AP30" i="46"/>
  <c r="AO30" i="46"/>
  <c r="AN30" i="46"/>
  <c r="AM30" i="46"/>
  <c r="AL30" i="46"/>
  <c r="AK30" i="46"/>
  <c r="AJ30" i="46"/>
  <c r="AI30" i="46"/>
  <c r="AH30" i="46"/>
  <c r="AG30" i="46"/>
  <c r="AF30" i="46"/>
  <c r="AE30" i="46"/>
  <c r="AD30" i="46"/>
  <c r="AC30" i="46"/>
  <c r="AB30" i="46"/>
  <c r="AA30" i="46"/>
  <c r="Z30" i="46"/>
  <c r="Y30" i="46"/>
  <c r="X30" i="46"/>
  <c r="W30" i="46"/>
  <c r="V30" i="46"/>
  <c r="U30" i="46"/>
  <c r="T30" i="46"/>
  <c r="S30" i="46"/>
  <c r="R30" i="46"/>
  <c r="Q30" i="46"/>
  <c r="P30" i="46"/>
  <c r="O30" i="46"/>
  <c r="N30" i="46"/>
  <c r="M30" i="46"/>
  <c r="L30" i="46"/>
  <c r="K30" i="46"/>
  <c r="J30" i="46"/>
  <c r="I30" i="46"/>
  <c r="H30" i="46"/>
  <c r="G30" i="46"/>
  <c r="F30" i="46"/>
  <c r="E30" i="46"/>
  <c r="AE29" i="46"/>
  <c r="AD29" i="46"/>
  <c r="AC29" i="46"/>
  <c r="AA29" i="46"/>
  <c r="Z29" i="46"/>
  <c r="Y29" i="46"/>
  <c r="X29" i="46"/>
  <c r="U29" i="46"/>
  <c r="T29" i="46"/>
  <c r="S29" i="46"/>
  <c r="R29" i="46"/>
  <c r="Q29" i="46"/>
  <c r="P29" i="46"/>
  <c r="O29" i="46"/>
  <c r="N29" i="46"/>
  <c r="M29" i="46"/>
  <c r="L29" i="46"/>
  <c r="K29" i="46"/>
  <c r="J29" i="46"/>
  <c r="I29" i="46"/>
  <c r="H29" i="46"/>
  <c r="G29" i="46"/>
  <c r="F29" i="46"/>
  <c r="E29" i="46"/>
  <c r="AV28" i="46"/>
  <c r="AU28" i="46"/>
  <c r="AT28" i="46"/>
  <c r="AS28" i="46"/>
  <c r="AR28" i="46"/>
  <c r="AQ28" i="46"/>
  <c r="AP28" i="46"/>
  <c r="AO28" i="46"/>
  <c r="AN28" i="46"/>
  <c r="AM28" i="46"/>
  <c r="AL28" i="46"/>
  <c r="AK28" i="46"/>
  <c r="AJ28" i="46"/>
  <c r="AI28" i="46"/>
  <c r="AH28" i="46"/>
  <c r="AG28" i="46"/>
  <c r="AF28" i="46"/>
  <c r="AE28" i="46"/>
  <c r="AD28" i="46"/>
  <c r="AC28" i="46"/>
  <c r="AB28" i="46"/>
  <c r="AA28" i="46"/>
  <c r="Z28" i="46"/>
  <c r="Y28" i="46"/>
  <c r="X28" i="46"/>
  <c r="W28" i="46"/>
  <c r="V28" i="46"/>
  <c r="U28" i="46"/>
  <c r="T28" i="46"/>
  <c r="S28" i="46"/>
  <c r="R28" i="46"/>
  <c r="Q28" i="46"/>
  <c r="P28" i="46"/>
  <c r="O28" i="46"/>
  <c r="N28" i="46"/>
  <c r="M28" i="46"/>
  <c r="L28" i="46"/>
  <c r="K28" i="46"/>
  <c r="J28" i="46"/>
  <c r="I28" i="46"/>
  <c r="H28" i="46"/>
  <c r="G28" i="46"/>
  <c r="F28" i="46"/>
  <c r="E28" i="46"/>
  <c r="U27" i="46"/>
  <c r="T27" i="46"/>
  <c r="S27" i="46"/>
  <c r="R27" i="46"/>
  <c r="Q27" i="46"/>
  <c r="P27" i="46"/>
  <c r="O27" i="46"/>
  <c r="N27" i="46"/>
  <c r="M27" i="46"/>
  <c r="L27" i="46"/>
  <c r="K27" i="46"/>
  <c r="J27" i="46"/>
  <c r="I27" i="46"/>
  <c r="H27" i="46"/>
  <c r="G27" i="46"/>
  <c r="F27" i="46"/>
  <c r="E27" i="46"/>
  <c r="U26" i="46"/>
  <c r="T26" i="46"/>
  <c r="S26" i="46"/>
  <c r="R26" i="46"/>
  <c r="Q26" i="46"/>
  <c r="P26" i="46"/>
  <c r="O26" i="46"/>
  <c r="N26" i="46"/>
  <c r="M26" i="46"/>
  <c r="L26" i="46"/>
  <c r="K26" i="46"/>
  <c r="J26" i="46"/>
  <c r="I26" i="46"/>
  <c r="H26" i="46"/>
  <c r="G26" i="46"/>
  <c r="F26" i="46"/>
  <c r="E26" i="46"/>
  <c r="V25" i="46"/>
  <c r="U25" i="46"/>
  <c r="T25" i="46"/>
  <c r="S25" i="46"/>
  <c r="R25" i="46"/>
  <c r="Q25" i="46"/>
  <c r="P25" i="46"/>
  <c r="O25" i="46"/>
  <c r="N25" i="46"/>
  <c r="M25" i="46"/>
  <c r="L25" i="46"/>
  <c r="K25" i="46"/>
  <c r="J25" i="46"/>
  <c r="I25" i="46"/>
  <c r="H25" i="46"/>
  <c r="G25" i="46"/>
  <c r="F25" i="46"/>
  <c r="E25" i="46"/>
  <c r="U24" i="46"/>
  <c r="T24" i="46"/>
  <c r="S24" i="46"/>
  <c r="R24" i="46"/>
  <c r="Q24" i="46"/>
  <c r="P24" i="46"/>
  <c r="O24" i="46"/>
  <c r="N24" i="46"/>
  <c r="M24" i="46"/>
  <c r="L24" i="46"/>
  <c r="K24" i="46"/>
  <c r="J24" i="46"/>
  <c r="I24" i="46"/>
  <c r="H24" i="46"/>
  <c r="G24" i="46"/>
  <c r="F24" i="46"/>
  <c r="E24" i="46"/>
  <c r="AV23" i="46"/>
  <c r="AU23" i="46"/>
  <c r="AT23" i="46"/>
  <c r="AS23" i="46"/>
  <c r="AR23" i="46"/>
  <c r="AQ23" i="46"/>
  <c r="AP23" i="46"/>
  <c r="AO23" i="46"/>
  <c r="AN23" i="46"/>
  <c r="AM23" i="46"/>
  <c r="AL23" i="46"/>
  <c r="AK23" i="46"/>
  <c r="AJ23" i="46"/>
  <c r="AI23" i="46"/>
  <c r="AH23" i="46"/>
  <c r="AG23" i="46"/>
  <c r="AF23" i="46"/>
  <c r="AE23" i="46"/>
  <c r="AD23" i="46"/>
  <c r="AC23" i="46"/>
  <c r="AB23" i="46"/>
  <c r="AA23" i="46"/>
  <c r="Z23" i="46"/>
  <c r="Y23" i="46"/>
  <c r="X23" i="46"/>
  <c r="W23" i="46"/>
  <c r="V23" i="46"/>
  <c r="U23" i="46"/>
  <c r="T23" i="46"/>
  <c r="S23" i="46"/>
  <c r="R23" i="46"/>
  <c r="Q23" i="46"/>
  <c r="P23" i="46"/>
  <c r="O23" i="46"/>
  <c r="N23" i="46"/>
  <c r="M23" i="46"/>
  <c r="L23" i="46"/>
  <c r="K23" i="46"/>
  <c r="J23" i="46"/>
  <c r="I23" i="46"/>
  <c r="H23" i="46"/>
  <c r="G23" i="46"/>
  <c r="F23" i="46"/>
  <c r="E23" i="46"/>
  <c r="U22" i="46"/>
  <c r="T22" i="46"/>
  <c r="S22" i="46"/>
  <c r="R22" i="46"/>
  <c r="Q22" i="46"/>
  <c r="P22" i="46"/>
  <c r="O22" i="46"/>
  <c r="N22" i="46"/>
  <c r="M22" i="46"/>
  <c r="L22" i="46"/>
  <c r="K22" i="46"/>
  <c r="J22" i="46"/>
  <c r="I22" i="46"/>
  <c r="H22" i="46"/>
  <c r="G22" i="46"/>
  <c r="F22" i="46"/>
  <c r="E22" i="46"/>
  <c r="AU21" i="46"/>
  <c r="AT21" i="46"/>
  <c r="AS21" i="46"/>
  <c r="AR21" i="46"/>
  <c r="AP21" i="46"/>
  <c r="AM21" i="46"/>
  <c r="AK21" i="46"/>
  <c r="AJ21" i="46"/>
  <c r="AI21" i="46"/>
  <c r="AH21" i="46"/>
  <c r="AG21" i="46"/>
  <c r="AF21" i="46"/>
  <c r="AE21" i="46"/>
  <c r="AD21" i="46"/>
  <c r="AC21" i="46"/>
  <c r="AA21" i="46"/>
  <c r="Z21" i="46"/>
  <c r="Y21" i="46"/>
  <c r="X21" i="46"/>
  <c r="V21" i="46"/>
  <c r="U21" i="46"/>
  <c r="T21" i="46"/>
  <c r="S21" i="46"/>
  <c r="R21" i="46"/>
  <c r="Q21" i="46"/>
  <c r="P21" i="46"/>
  <c r="O21" i="46"/>
  <c r="N21" i="46"/>
  <c r="M21" i="46"/>
  <c r="L21" i="46"/>
  <c r="K21" i="46"/>
  <c r="J21" i="46"/>
  <c r="I21" i="46"/>
  <c r="H21" i="46"/>
  <c r="G21" i="46"/>
  <c r="F21" i="46"/>
  <c r="E21" i="46"/>
  <c r="AS20" i="46"/>
  <c r="AR20" i="46"/>
  <c r="AP20" i="46"/>
  <c r="AO20" i="46"/>
  <c r="AN20" i="46"/>
  <c r="AM20" i="46"/>
  <c r="AK20" i="46"/>
  <c r="AJ20" i="46"/>
  <c r="AI20" i="46"/>
  <c r="AH20" i="46"/>
  <c r="AF20" i="46"/>
  <c r="AE20" i="46"/>
  <c r="AD20" i="46"/>
  <c r="AC20" i="46"/>
  <c r="Y20" i="46"/>
  <c r="X20" i="46"/>
  <c r="V20" i="46"/>
  <c r="U20" i="46"/>
  <c r="T20" i="46"/>
  <c r="S20" i="46"/>
  <c r="R20" i="46"/>
  <c r="Q20" i="46"/>
  <c r="P20" i="46"/>
  <c r="O20" i="46"/>
  <c r="N20" i="46"/>
  <c r="M20" i="46"/>
  <c r="L20" i="46"/>
  <c r="K20" i="46"/>
  <c r="J20" i="46"/>
  <c r="I20" i="46"/>
  <c r="H20" i="46"/>
  <c r="G20" i="46"/>
  <c r="F20" i="46"/>
  <c r="E20" i="46"/>
  <c r="AU19" i="46"/>
  <c r="AT19" i="46"/>
  <c r="AS19" i="46"/>
  <c r="AR19" i="46"/>
  <c r="AP19" i="46"/>
  <c r="AO19" i="46"/>
  <c r="AN19" i="46"/>
  <c r="AM19" i="46"/>
  <c r="AK19" i="46"/>
  <c r="AJ19" i="46"/>
  <c r="AI19" i="46"/>
  <c r="AE19" i="46"/>
  <c r="AD19" i="46"/>
  <c r="AC19" i="46"/>
  <c r="AA19" i="46"/>
  <c r="Z19" i="46"/>
  <c r="Y19" i="46"/>
  <c r="X19" i="46"/>
  <c r="V19" i="46"/>
  <c r="U19" i="46"/>
  <c r="T19" i="46"/>
  <c r="S19" i="46"/>
  <c r="R19" i="46"/>
  <c r="Q19" i="46"/>
  <c r="P19" i="46"/>
  <c r="O19" i="46"/>
  <c r="N19" i="46"/>
  <c r="M19" i="46"/>
  <c r="L19" i="46"/>
  <c r="K19" i="46"/>
  <c r="J19" i="46"/>
  <c r="I19" i="46"/>
  <c r="H19" i="46"/>
  <c r="G19" i="46"/>
  <c r="F19" i="46"/>
  <c r="E19" i="46"/>
  <c r="AT18" i="46"/>
  <c r="AO18" i="46"/>
  <c r="AJ18" i="46"/>
  <c r="AE18" i="46"/>
  <c r="AA18" i="46"/>
  <c r="Z18" i="46"/>
  <c r="Y18" i="46"/>
  <c r="X18" i="46"/>
  <c r="V18" i="46"/>
  <c r="U18" i="46"/>
  <c r="T18" i="46"/>
  <c r="S18" i="46"/>
  <c r="R18" i="46"/>
  <c r="Q18" i="46"/>
  <c r="P18" i="46"/>
  <c r="O18" i="46"/>
  <c r="N18" i="46"/>
  <c r="M18" i="46"/>
  <c r="L18" i="46"/>
  <c r="K18" i="46"/>
  <c r="J18" i="46"/>
  <c r="I18" i="46"/>
  <c r="H18" i="46"/>
  <c r="G18" i="46"/>
  <c r="F18" i="46"/>
  <c r="E18" i="46"/>
  <c r="AU17" i="46"/>
  <c r="AR17" i="46"/>
  <c r="AP17" i="46"/>
  <c r="AO17" i="46"/>
  <c r="AN17" i="46"/>
  <c r="AM17" i="46"/>
  <c r="AK17" i="46"/>
  <c r="AJ17" i="46"/>
  <c r="AI17" i="46"/>
  <c r="AH17" i="46"/>
  <c r="AG17" i="46"/>
  <c r="AF17" i="46"/>
  <c r="AE17" i="46"/>
  <c r="AD17" i="46"/>
  <c r="AC17" i="46"/>
  <c r="AA17" i="46"/>
  <c r="X17" i="46"/>
  <c r="V17" i="46"/>
  <c r="U17" i="46"/>
  <c r="T17" i="46"/>
  <c r="S17" i="46"/>
  <c r="R17" i="46"/>
  <c r="Q17" i="46"/>
  <c r="P17" i="46"/>
  <c r="O17" i="46"/>
  <c r="N17" i="46"/>
  <c r="M17" i="46"/>
  <c r="L17" i="46"/>
  <c r="K17" i="46"/>
  <c r="J17" i="46"/>
  <c r="I17" i="46"/>
  <c r="H17" i="46"/>
  <c r="G17" i="46"/>
  <c r="F17" i="46"/>
  <c r="E17" i="46"/>
  <c r="AT16" i="46"/>
  <c r="AO16" i="46"/>
  <c r="AJ16" i="46"/>
  <c r="AA16" i="46"/>
  <c r="Z16" i="46"/>
  <c r="Y16" i="46"/>
  <c r="X16" i="46"/>
  <c r="V16" i="46"/>
  <c r="U16" i="46"/>
  <c r="T16" i="46"/>
  <c r="S16" i="46"/>
  <c r="R16" i="46"/>
  <c r="Q16" i="46"/>
  <c r="P16" i="46"/>
  <c r="O16" i="46"/>
  <c r="N16" i="46"/>
  <c r="M16" i="46"/>
  <c r="L16" i="46"/>
  <c r="K16" i="46"/>
  <c r="J16" i="46"/>
  <c r="I16" i="46"/>
  <c r="H16" i="46"/>
  <c r="G16" i="46"/>
  <c r="F16" i="46"/>
  <c r="E16" i="46"/>
  <c r="AU15" i="46"/>
  <c r="AT15" i="46"/>
  <c r="AS15" i="46"/>
  <c r="AR15" i="46"/>
  <c r="AP15" i="46"/>
  <c r="AO15" i="46"/>
  <c r="AN15" i="46"/>
  <c r="AJ15" i="46"/>
  <c r="AI15" i="46"/>
  <c r="AH15" i="46"/>
  <c r="AF15" i="46"/>
  <c r="AE15" i="46"/>
  <c r="AD15" i="46"/>
  <c r="AC15" i="46"/>
  <c r="AA15" i="46"/>
  <c r="Z15" i="46"/>
  <c r="Y15" i="46"/>
  <c r="X15" i="46"/>
  <c r="V15" i="46"/>
  <c r="U15" i="46"/>
  <c r="T15" i="46"/>
  <c r="S15" i="46"/>
  <c r="R15" i="46"/>
  <c r="Q15" i="46"/>
  <c r="P15" i="46"/>
  <c r="O15" i="46"/>
  <c r="N15" i="46"/>
  <c r="M15" i="46"/>
  <c r="L15" i="46"/>
  <c r="K15" i="46"/>
  <c r="J15" i="46"/>
  <c r="I15" i="46"/>
  <c r="H15" i="46"/>
  <c r="G15" i="46"/>
  <c r="F15" i="46"/>
  <c r="E15" i="46"/>
  <c r="AV14" i="46"/>
  <c r="AU14" i="46"/>
  <c r="AT14" i="46"/>
  <c r="AS14" i="46"/>
  <c r="AR14" i="46"/>
  <c r="AQ14" i="46"/>
  <c r="AP14" i="46"/>
  <c r="AO14" i="46"/>
  <c r="AN14" i="46"/>
  <c r="AM14" i="46"/>
  <c r="AL14" i="46"/>
  <c r="AK14" i="46"/>
  <c r="AJ14" i="46"/>
  <c r="AI14" i="46"/>
  <c r="AH14" i="46"/>
  <c r="AG14" i="46"/>
  <c r="AF14" i="46"/>
  <c r="AE14" i="46"/>
  <c r="AD14" i="46"/>
  <c r="AC14" i="46"/>
  <c r="AB14" i="46"/>
  <c r="AA14" i="46"/>
  <c r="Z14" i="46"/>
  <c r="Y14" i="46"/>
  <c r="X14" i="46"/>
  <c r="W14" i="46"/>
  <c r="V14" i="46"/>
  <c r="U14" i="46"/>
  <c r="T14" i="46"/>
  <c r="S14" i="46"/>
  <c r="R14" i="46"/>
  <c r="Q14" i="46"/>
  <c r="P14" i="46"/>
  <c r="O14" i="46"/>
  <c r="N14" i="46"/>
  <c r="M14" i="46"/>
  <c r="L14" i="46"/>
  <c r="K14" i="46"/>
  <c r="J14" i="46"/>
  <c r="I14" i="46"/>
  <c r="H14" i="46"/>
  <c r="G14" i="46"/>
  <c r="F14" i="46"/>
  <c r="E14" i="46"/>
  <c r="AV13" i="46"/>
  <c r="AU13" i="46"/>
  <c r="AT13" i="46"/>
  <c r="AS13" i="46"/>
  <c r="AR13" i="46"/>
  <c r="AQ13" i="46"/>
  <c r="AP13" i="46"/>
  <c r="AO13" i="46"/>
  <c r="AN13" i="46"/>
  <c r="AM13" i="46"/>
  <c r="AL13" i="46"/>
  <c r="AK13" i="46"/>
  <c r="AJ13" i="46"/>
  <c r="AI13" i="46"/>
  <c r="AH13" i="46"/>
  <c r="AG13" i="46"/>
  <c r="AF13" i="46"/>
  <c r="AE13" i="46"/>
  <c r="AD13" i="46"/>
  <c r="AC13" i="46"/>
  <c r="AB13" i="46"/>
  <c r="AA13" i="46"/>
  <c r="Z13" i="46"/>
  <c r="Y13" i="46"/>
  <c r="X13" i="46"/>
  <c r="W13" i="46"/>
  <c r="V13" i="46"/>
  <c r="U13" i="46"/>
  <c r="T13" i="46"/>
  <c r="S13" i="46"/>
  <c r="R13" i="46"/>
  <c r="Q13" i="46"/>
  <c r="P13" i="46"/>
  <c r="O13" i="46"/>
  <c r="N13" i="46"/>
  <c r="M13" i="46"/>
  <c r="L13" i="46"/>
  <c r="K13" i="46"/>
  <c r="J13" i="46"/>
  <c r="I13" i="46"/>
  <c r="H13" i="46"/>
  <c r="G13" i="46"/>
  <c r="F13" i="46"/>
  <c r="E13" i="46"/>
  <c r="U12" i="46"/>
  <c r="T12" i="46"/>
  <c r="S12" i="46"/>
  <c r="R12" i="46"/>
  <c r="Q12" i="46"/>
  <c r="P12" i="46"/>
  <c r="O12" i="46"/>
  <c r="N12" i="46"/>
  <c r="M12" i="46"/>
  <c r="L12" i="46"/>
  <c r="K12" i="46"/>
  <c r="J12" i="46"/>
  <c r="I12" i="46"/>
  <c r="H12" i="46"/>
  <c r="G12" i="46"/>
  <c r="F12" i="46"/>
  <c r="E12" i="46"/>
  <c r="AV11" i="46"/>
  <c r="AU11" i="46"/>
  <c r="AT11" i="46"/>
  <c r="AS11" i="46"/>
  <c r="AR11" i="46"/>
  <c r="AQ11" i="46"/>
  <c r="AP11" i="46"/>
  <c r="AO11" i="46"/>
  <c r="AN11" i="46"/>
  <c r="AM11" i="46"/>
  <c r="AL11" i="46"/>
  <c r="AK11" i="46"/>
  <c r="AJ11" i="46"/>
  <c r="AI11" i="46"/>
  <c r="AH11" i="46"/>
  <c r="AG11" i="46"/>
  <c r="AF11" i="46"/>
  <c r="AE11" i="46"/>
  <c r="AD11" i="46"/>
  <c r="AC11" i="46"/>
  <c r="AB11" i="46"/>
  <c r="AA11" i="46"/>
  <c r="Z11" i="46"/>
  <c r="Y11" i="46"/>
  <c r="X11" i="46"/>
  <c r="W11" i="46"/>
  <c r="V11" i="46"/>
  <c r="U11" i="46"/>
  <c r="T11" i="46"/>
  <c r="S11" i="46"/>
  <c r="R11" i="46"/>
  <c r="Q11" i="46"/>
  <c r="P11" i="46"/>
  <c r="O11" i="46"/>
  <c r="N11" i="46"/>
  <c r="M11" i="46"/>
  <c r="L11" i="46"/>
  <c r="K11" i="46"/>
  <c r="J11" i="46"/>
  <c r="I11" i="46"/>
  <c r="H11" i="46"/>
  <c r="G11" i="46"/>
  <c r="F11" i="46"/>
  <c r="E11" i="46"/>
  <c r="AO10" i="46"/>
  <c r="Y10" i="46"/>
  <c r="U10" i="46"/>
  <c r="T10" i="46"/>
  <c r="S10" i="46"/>
  <c r="R10" i="46"/>
  <c r="Q10" i="46"/>
  <c r="P10" i="46"/>
  <c r="O10" i="46"/>
  <c r="N10" i="46"/>
  <c r="M10" i="46"/>
  <c r="L10" i="46"/>
  <c r="K10" i="46"/>
  <c r="J10" i="46"/>
  <c r="I10" i="46"/>
  <c r="H10" i="46"/>
  <c r="G10" i="46"/>
  <c r="F10" i="46"/>
  <c r="E10" i="46"/>
  <c r="AU9" i="46"/>
  <c r="AS9" i="46"/>
  <c r="AR9" i="46"/>
  <c r="AP9" i="46"/>
  <c r="AO9" i="46"/>
  <c r="AN9" i="46"/>
  <c r="AM9" i="46"/>
  <c r="AK9" i="46"/>
  <c r="AJ9" i="46"/>
  <c r="AI9" i="46"/>
  <c r="AH9" i="46"/>
  <c r="AF9" i="46"/>
  <c r="AE9" i="46"/>
  <c r="AD9" i="46"/>
  <c r="AC9" i="46"/>
  <c r="AA9" i="46"/>
  <c r="Y9" i="46"/>
  <c r="X9" i="46"/>
  <c r="V9" i="46"/>
  <c r="U9" i="46"/>
  <c r="T9" i="46"/>
  <c r="S9" i="46"/>
  <c r="R9" i="46"/>
  <c r="Q9" i="46"/>
  <c r="P9" i="46"/>
  <c r="O9" i="46"/>
  <c r="N9" i="46"/>
  <c r="M9" i="46"/>
  <c r="L9" i="46"/>
  <c r="K9" i="46"/>
  <c r="J9" i="46"/>
  <c r="I9" i="46"/>
  <c r="H9" i="46"/>
  <c r="G9" i="46"/>
  <c r="F9" i="46"/>
  <c r="E9" i="46"/>
  <c r="AU8" i="46"/>
  <c r="AT8" i="46"/>
  <c r="AP8" i="46"/>
  <c r="AO8" i="46"/>
  <c r="AN8" i="46"/>
  <c r="AM8" i="46"/>
  <c r="AK8" i="46"/>
  <c r="AJ8" i="46"/>
  <c r="AI8" i="46"/>
  <c r="AH8" i="46"/>
  <c r="AG8" i="46"/>
  <c r="AF8" i="46"/>
  <c r="AE8" i="46"/>
  <c r="AD8" i="46"/>
  <c r="AC8" i="46"/>
  <c r="AA8" i="46"/>
  <c r="Z8" i="46"/>
  <c r="V8" i="46"/>
  <c r="U8" i="46"/>
  <c r="T8" i="46"/>
  <c r="S8" i="46"/>
  <c r="R8" i="46"/>
  <c r="Q8" i="46"/>
  <c r="P8" i="46"/>
  <c r="O8" i="46"/>
  <c r="N8" i="46"/>
  <c r="M8" i="46"/>
  <c r="L8" i="46"/>
  <c r="K8" i="46"/>
  <c r="J8" i="46"/>
  <c r="I8" i="46"/>
  <c r="H8" i="46"/>
  <c r="G8" i="46"/>
  <c r="F8" i="46"/>
  <c r="E8" i="46"/>
  <c r="U7" i="46"/>
  <c r="T7" i="46"/>
  <c r="S7" i="46"/>
  <c r="R7" i="46"/>
  <c r="Q7" i="46"/>
  <c r="P7" i="46"/>
  <c r="O7" i="46"/>
  <c r="N7" i="46"/>
  <c r="M7" i="46"/>
  <c r="L7" i="46"/>
  <c r="K7" i="46"/>
  <c r="J7" i="46"/>
  <c r="I7" i="46"/>
  <c r="H7" i="46"/>
  <c r="G7" i="46"/>
  <c r="F7" i="46"/>
  <c r="E7" i="46"/>
  <c r="U6" i="46"/>
  <c r="T6" i="46"/>
  <c r="S6" i="46"/>
  <c r="R6" i="46"/>
  <c r="Q6" i="46"/>
  <c r="P6" i="46"/>
  <c r="O6" i="46"/>
  <c r="N6" i="46"/>
  <c r="M6" i="46"/>
  <c r="L6" i="46"/>
  <c r="K6" i="46"/>
  <c r="J6" i="46"/>
  <c r="I6" i="46"/>
  <c r="H6" i="46"/>
  <c r="G6" i="46"/>
  <c r="F6" i="46"/>
  <c r="E6" i="46"/>
  <c r="D48" i="46"/>
  <c r="D47" i="46"/>
  <c r="D46" i="46"/>
  <c r="D45" i="46"/>
  <c r="D44" i="46"/>
  <c r="D43" i="46"/>
  <c r="D42" i="46"/>
  <c r="D41" i="46"/>
  <c r="D40" i="46"/>
  <c r="D39" i="46"/>
  <c r="D38" i="46"/>
  <c r="D37" i="46"/>
  <c r="D36" i="46"/>
  <c r="D35" i="46"/>
  <c r="D34" i="46"/>
  <c r="D33" i="46"/>
  <c r="D32" i="46"/>
  <c r="D31" i="46"/>
  <c r="D30" i="46"/>
  <c r="D29" i="46"/>
  <c r="D28" i="46"/>
  <c r="D27" i="46"/>
  <c r="D26" i="46"/>
  <c r="D25" i="46"/>
  <c r="D24" i="46"/>
  <c r="D23" i="46"/>
  <c r="D22" i="46"/>
  <c r="D21" i="46"/>
  <c r="D20" i="46"/>
  <c r="D19" i="46"/>
  <c r="D18" i="46"/>
  <c r="D17" i="46"/>
  <c r="D16" i="46"/>
  <c r="D15" i="46"/>
  <c r="D14" i="46"/>
  <c r="D13" i="46"/>
  <c r="D12" i="46"/>
  <c r="D11" i="46"/>
  <c r="D10" i="46"/>
  <c r="D9" i="46"/>
  <c r="D8" i="46"/>
  <c r="D7" i="46"/>
  <c r="D6" i="46"/>
  <c r="AU67" i="44"/>
  <c r="AT67" i="44"/>
  <c r="AS67" i="44"/>
  <c r="AR67" i="44"/>
  <c r="AP67" i="44"/>
  <c r="AO67" i="44"/>
  <c r="AN67" i="44"/>
  <c r="AM67" i="44"/>
  <c r="AK67" i="44"/>
  <c r="AJ67" i="44"/>
  <c r="AI67" i="44"/>
  <c r="AH67" i="44"/>
  <c r="AF67" i="44"/>
  <c r="AE67" i="44"/>
  <c r="AD67" i="44"/>
  <c r="AC67" i="44"/>
  <c r="AB67" i="44"/>
  <c r="AA67" i="44"/>
  <c r="Z67" i="44"/>
  <c r="Y67" i="44"/>
  <c r="X67" i="44"/>
  <c r="W67" i="44"/>
  <c r="V67" i="44"/>
  <c r="U67" i="44"/>
  <c r="T67" i="44"/>
  <c r="S67" i="44"/>
  <c r="R67" i="44"/>
  <c r="Q67" i="44"/>
  <c r="P67" i="44"/>
  <c r="O67" i="44"/>
  <c r="N67" i="44"/>
  <c r="M67" i="44"/>
  <c r="L67" i="44"/>
  <c r="K67" i="44"/>
  <c r="J67" i="44"/>
  <c r="I67" i="44"/>
  <c r="H67" i="44"/>
  <c r="G67" i="44"/>
  <c r="F67" i="44"/>
  <c r="E67" i="44"/>
  <c r="AV66" i="44"/>
  <c r="AU66" i="44"/>
  <c r="AT66" i="44"/>
  <c r="AS66" i="44"/>
  <c r="AR66" i="44"/>
  <c r="AQ66" i="44"/>
  <c r="AP66" i="44"/>
  <c r="AO66" i="44"/>
  <c r="AN66" i="44"/>
  <c r="AM66" i="44"/>
  <c r="AL66" i="44"/>
  <c r="AK66" i="44"/>
  <c r="AJ66" i="44"/>
  <c r="AI66" i="44"/>
  <c r="AH66" i="44"/>
  <c r="AG66" i="44"/>
  <c r="AF66" i="44"/>
  <c r="AE66" i="44"/>
  <c r="AD66" i="44"/>
  <c r="AC66" i="44"/>
  <c r="AB66" i="44"/>
  <c r="AA66" i="44"/>
  <c r="Z66" i="44"/>
  <c r="Y66" i="44"/>
  <c r="X66" i="44"/>
  <c r="W66" i="44"/>
  <c r="V66" i="44"/>
  <c r="U66" i="44"/>
  <c r="T66" i="44"/>
  <c r="S66" i="44"/>
  <c r="R66" i="44"/>
  <c r="Q66" i="44"/>
  <c r="P66" i="44"/>
  <c r="O66" i="44"/>
  <c r="N66" i="44"/>
  <c r="M66" i="44"/>
  <c r="L66" i="44"/>
  <c r="K66" i="44"/>
  <c r="J66" i="44"/>
  <c r="I66" i="44"/>
  <c r="H66" i="44"/>
  <c r="G66" i="44"/>
  <c r="F66" i="44"/>
  <c r="E66" i="44"/>
  <c r="AU65" i="44"/>
  <c r="AT65" i="44"/>
  <c r="AS65" i="44"/>
  <c r="AR65" i="44"/>
  <c r="AP65" i="44"/>
  <c r="AO65" i="44"/>
  <c r="AN65" i="44"/>
  <c r="AM65" i="44"/>
  <c r="AK65" i="44"/>
  <c r="AJ65" i="44"/>
  <c r="AI65" i="44"/>
  <c r="AH65" i="44"/>
  <c r="AF65" i="44"/>
  <c r="AE65" i="44"/>
  <c r="AD65" i="44"/>
  <c r="AC65" i="44"/>
  <c r="AA65" i="44"/>
  <c r="Z65" i="44"/>
  <c r="Y65" i="44"/>
  <c r="X65" i="44"/>
  <c r="V65" i="44"/>
  <c r="U65" i="44"/>
  <c r="T65" i="44"/>
  <c r="S65" i="44"/>
  <c r="R65" i="44"/>
  <c r="Q65" i="44"/>
  <c r="P65" i="44"/>
  <c r="O65" i="44"/>
  <c r="N65" i="44"/>
  <c r="M65" i="44"/>
  <c r="L65" i="44"/>
  <c r="K65" i="44"/>
  <c r="J65" i="44"/>
  <c r="I65" i="44"/>
  <c r="H65" i="44"/>
  <c r="G65" i="44"/>
  <c r="F65" i="44"/>
  <c r="E65" i="44"/>
  <c r="AU64" i="44"/>
  <c r="AT64" i="44"/>
  <c r="AS64" i="44"/>
  <c r="AR64" i="44"/>
  <c r="AP64" i="44"/>
  <c r="AO64" i="44"/>
  <c r="AN64" i="44"/>
  <c r="AM64" i="44"/>
  <c r="AK64" i="44"/>
  <c r="AJ64" i="44"/>
  <c r="AI64" i="44"/>
  <c r="AH64" i="44"/>
  <c r="AF64" i="44"/>
  <c r="AE64" i="44"/>
  <c r="AD64" i="44"/>
  <c r="AC64" i="44"/>
  <c r="AA64" i="44"/>
  <c r="Z64" i="44"/>
  <c r="Y64" i="44"/>
  <c r="X64" i="44"/>
  <c r="V64" i="44"/>
  <c r="U64" i="44"/>
  <c r="T64" i="44"/>
  <c r="S64" i="44"/>
  <c r="Q64" i="44"/>
  <c r="P64" i="44"/>
  <c r="O64" i="44"/>
  <c r="N64" i="44"/>
  <c r="L64" i="44"/>
  <c r="K64" i="44"/>
  <c r="J64" i="44"/>
  <c r="I64" i="44"/>
  <c r="H64" i="44"/>
  <c r="G64" i="44"/>
  <c r="F64" i="44"/>
  <c r="E64" i="44"/>
  <c r="AV63" i="44"/>
  <c r="AQ63" i="44"/>
  <c r="AL63" i="44"/>
  <c r="AG63" i="44"/>
  <c r="AE63" i="44"/>
  <c r="AD63" i="44"/>
  <c r="AC63" i="44"/>
  <c r="AB63" i="44"/>
  <c r="AA63" i="44"/>
  <c r="Z63" i="44"/>
  <c r="Y63" i="44"/>
  <c r="X63" i="44"/>
  <c r="W63" i="44"/>
  <c r="V63" i="44"/>
  <c r="U63" i="44"/>
  <c r="T63" i="44"/>
  <c r="S63" i="44"/>
  <c r="R63" i="44"/>
  <c r="Q63" i="44"/>
  <c r="P63" i="44"/>
  <c r="O63" i="44"/>
  <c r="N63" i="44"/>
  <c r="M63" i="44"/>
  <c r="L63" i="44"/>
  <c r="K63" i="44"/>
  <c r="J63" i="44"/>
  <c r="I63" i="44"/>
  <c r="H63" i="44"/>
  <c r="G63" i="44"/>
  <c r="F63" i="44"/>
  <c r="E63" i="44"/>
  <c r="AV62" i="44"/>
  <c r="AQ62" i="44"/>
  <c r="AL62" i="44"/>
  <c r="AG62" i="44"/>
  <c r="AB62" i="44"/>
  <c r="U62" i="44"/>
  <c r="T62" i="44"/>
  <c r="S62" i="44"/>
  <c r="R62" i="44"/>
  <c r="Q62" i="44"/>
  <c r="P62" i="44"/>
  <c r="O62" i="44"/>
  <c r="N62" i="44"/>
  <c r="M62" i="44"/>
  <c r="L62" i="44"/>
  <c r="K62" i="44"/>
  <c r="J62" i="44"/>
  <c r="I62" i="44"/>
  <c r="H62" i="44"/>
  <c r="G62" i="44"/>
  <c r="F62" i="44"/>
  <c r="E62" i="44"/>
  <c r="AV61" i="44"/>
  <c r="AU61" i="44"/>
  <c r="AT61" i="44"/>
  <c r="AS61" i="44"/>
  <c r="AR61" i="44"/>
  <c r="AQ61" i="44"/>
  <c r="AP61" i="44"/>
  <c r="AO61" i="44"/>
  <c r="AN61" i="44"/>
  <c r="AM61" i="44"/>
  <c r="AL61" i="44"/>
  <c r="AK61" i="44"/>
  <c r="AI61" i="44"/>
  <c r="AH61" i="44"/>
  <c r="AG61" i="44"/>
  <c r="AF61" i="44"/>
  <c r="AE61" i="44"/>
  <c r="AD61" i="44"/>
  <c r="AC61" i="44"/>
  <c r="AB61" i="44"/>
  <c r="AA61" i="44"/>
  <c r="Z61" i="44"/>
  <c r="Y61" i="44"/>
  <c r="X61" i="44"/>
  <c r="W61" i="44"/>
  <c r="V61" i="44"/>
  <c r="U61" i="44"/>
  <c r="T61" i="44"/>
  <c r="S61" i="44"/>
  <c r="R61" i="44"/>
  <c r="Q61" i="44"/>
  <c r="P61" i="44"/>
  <c r="O61" i="44"/>
  <c r="N61" i="44"/>
  <c r="M61" i="44"/>
  <c r="L61" i="44"/>
  <c r="K61" i="44"/>
  <c r="J61" i="44"/>
  <c r="I61" i="44"/>
  <c r="H61" i="44"/>
  <c r="G61" i="44"/>
  <c r="F61" i="44"/>
  <c r="E61" i="44"/>
  <c r="AV60" i="44"/>
  <c r="AU60" i="44"/>
  <c r="AT60" i="44"/>
  <c r="AS60" i="44"/>
  <c r="AR60" i="44"/>
  <c r="AQ60" i="44"/>
  <c r="AP60" i="44"/>
  <c r="AO60" i="44"/>
  <c r="AN60" i="44"/>
  <c r="AM60" i="44"/>
  <c r="AL60" i="44"/>
  <c r="AK60" i="44"/>
  <c r="AJ60" i="44"/>
  <c r="AI60" i="44"/>
  <c r="AH60" i="44"/>
  <c r="AG60" i="44"/>
  <c r="AF60" i="44"/>
  <c r="AE60" i="44"/>
  <c r="AD60" i="44"/>
  <c r="AC60" i="44"/>
  <c r="AB60" i="44"/>
  <c r="AA60" i="44"/>
  <c r="Z60" i="44"/>
  <c r="Y60" i="44"/>
  <c r="X60" i="44"/>
  <c r="W60" i="44"/>
  <c r="V60" i="44"/>
  <c r="U60" i="44"/>
  <c r="T60" i="44"/>
  <c r="S60" i="44"/>
  <c r="R60" i="44"/>
  <c r="Q60" i="44"/>
  <c r="P60" i="44"/>
  <c r="O60" i="44"/>
  <c r="N60" i="44"/>
  <c r="M60" i="44"/>
  <c r="L60" i="44"/>
  <c r="K60" i="44"/>
  <c r="J60" i="44"/>
  <c r="I60" i="44"/>
  <c r="H60" i="44"/>
  <c r="G60" i="44"/>
  <c r="F60" i="44"/>
  <c r="E60" i="44"/>
  <c r="AV59" i="44"/>
  <c r="AU59" i="44"/>
  <c r="AT59" i="44"/>
  <c r="AS59" i="44"/>
  <c r="AR59" i="44"/>
  <c r="AQ59" i="44"/>
  <c r="AP59" i="44"/>
  <c r="AO59" i="44"/>
  <c r="AN59" i="44"/>
  <c r="AM59" i="44"/>
  <c r="AL59" i="44"/>
  <c r="AK59" i="44"/>
  <c r="AJ59" i="44"/>
  <c r="AI59" i="44"/>
  <c r="AH59" i="44"/>
  <c r="AG59" i="44"/>
  <c r="AF59" i="44"/>
  <c r="AE59" i="44"/>
  <c r="AD59" i="44"/>
  <c r="AC59" i="44"/>
  <c r="AB59" i="44"/>
  <c r="AA59" i="44"/>
  <c r="Z59" i="44"/>
  <c r="Y59" i="44"/>
  <c r="X59" i="44"/>
  <c r="W59" i="44"/>
  <c r="V59" i="44"/>
  <c r="U59" i="44"/>
  <c r="T59" i="44"/>
  <c r="S59" i="44"/>
  <c r="R59" i="44"/>
  <c r="Q59" i="44"/>
  <c r="P59" i="44"/>
  <c r="O59" i="44"/>
  <c r="N59" i="44"/>
  <c r="M59" i="44"/>
  <c r="L59" i="44"/>
  <c r="K59" i="44"/>
  <c r="J59" i="44"/>
  <c r="I59" i="44"/>
  <c r="H59" i="44"/>
  <c r="G59" i="44"/>
  <c r="F59" i="44"/>
  <c r="E59" i="44"/>
  <c r="AV58" i="44"/>
  <c r="AU58" i="44"/>
  <c r="AT58" i="44"/>
  <c r="AS58" i="44"/>
  <c r="AR58" i="44"/>
  <c r="AQ58" i="44"/>
  <c r="AP58" i="44"/>
  <c r="AO58" i="44"/>
  <c r="AN58" i="44"/>
  <c r="AM58" i="44"/>
  <c r="AL58" i="44"/>
  <c r="AK58" i="44"/>
  <c r="AJ58" i="44"/>
  <c r="AI58" i="44"/>
  <c r="AH58" i="44"/>
  <c r="AG58" i="44"/>
  <c r="AF58" i="44"/>
  <c r="AE58" i="44"/>
  <c r="AD58" i="44"/>
  <c r="AC58" i="44"/>
  <c r="AB58" i="44"/>
  <c r="AA58" i="44"/>
  <c r="Z58" i="44"/>
  <c r="Y58" i="44"/>
  <c r="X58" i="44"/>
  <c r="W58" i="44"/>
  <c r="V58" i="44"/>
  <c r="U58" i="44"/>
  <c r="T58" i="44"/>
  <c r="S58" i="44"/>
  <c r="R58" i="44"/>
  <c r="Q58" i="44"/>
  <c r="P58" i="44"/>
  <c r="O58" i="44"/>
  <c r="N58" i="44"/>
  <c r="M58" i="44"/>
  <c r="L58" i="44"/>
  <c r="K58" i="44"/>
  <c r="J58" i="44"/>
  <c r="I58" i="44"/>
  <c r="H58" i="44"/>
  <c r="G58" i="44"/>
  <c r="F58" i="44"/>
  <c r="E58" i="44"/>
  <c r="AV57" i="44"/>
  <c r="AU57" i="44"/>
  <c r="AT57" i="44"/>
  <c r="AS57" i="44"/>
  <c r="AR57" i="44"/>
  <c r="AQ57" i="44"/>
  <c r="AP57" i="44"/>
  <c r="AO57" i="44"/>
  <c r="AN57" i="44"/>
  <c r="AM57" i="44"/>
  <c r="AL57" i="44"/>
  <c r="AK57" i="44"/>
  <c r="AJ57" i="44"/>
  <c r="AI57" i="44"/>
  <c r="AH57" i="44"/>
  <c r="AG57" i="44"/>
  <c r="AF57" i="44"/>
  <c r="AE57" i="44"/>
  <c r="AD57" i="44"/>
  <c r="AC57" i="44"/>
  <c r="AB57" i="44"/>
  <c r="AA57" i="44"/>
  <c r="Z57" i="44"/>
  <c r="Y57" i="44"/>
  <c r="X57" i="44"/>
  <c r="W57" i="44"/>
  <c r="V57" i="44"/>
  <c r="U57" i="44"/>
  <c r="T57" i="44"/>
  <c r="S57" i="44"/>
  <c r="R57" i="44"/>
  <c r="Q57" i="44"/>
  <c r="P57" i="44"/>
  <c r="O57" i="44"/>
  <c r="N57" i="44"/>
  <c r="M57" i="44"/>
  <c r="L57" i="44"/>
  <c r="K57" i="44"/>
  <c r="J57" i="44"/>
  <c r="I57" i="44"/>
  <c r="H57" i="44"/>
  <c r="G57" i="44"/>
  <c r="F57" i="44"/>
  <c r="E57" i="44"/>
  <c r="AV56" i="44"/>
  <c r="AQ56" i="44"/>
  <c r="AL56" i="44"/>
  <c r="AG56" i="44"/>
  <c r="AB56" i="44"/>
  <c r="W56" i="44"/>
  <c r="U56" i="44"/>
  <c r="T56" i="44"/>
  <c r="S56" i="44"/>
  <c r="R56" i="44"/>
  <c r="Q56" i="44"/>
  <c r="P56" i="44"/>
  <c r="O56" i="44"/>
  <c r="N56" i="44"/>
  <c r="M56" i="44"/>
  <c r="L56" i="44"/>
  <c r="K56" i="44"/>
  <c r="J56" i="44"/>
  <c r="I56" i="44"/>
  <c r="H56" i="44"/>
  <c r="G56" i="44"/>
  <c r="F56" i="44"/>
  <c r="E56" i="44"/>
  <c r="AV55" i="44"/>
  <c r="AU55" i="44"/>
  <c r="AT55" i="44"/>
  <c r="AS55" i="44"/>
  <c r="AR55" i="44"/>
  <c r="AQ55" i="44"/>
  <c r="AP55" i="44"/>
  <c r="AO55" i="44"/>
  <c r="AN55" i="44"/>
  <c r="AM55" i="44"/>
  <c r="AL55" i="44"/>
  <c r="AK55" i="44"/>
  <c r="AJ55" i="44"/>
  <c r="AI55" i="44"/>
  <c r="AH55" i="44"/>
  <c r="AG55" i="44"/>
  <c r="AF55" i="44"/>
  <c r="AE55" i="44"/>
  <c r="AD55" i="44"/>
  <c r="AC55" i="44"/>
  <c r="AB55" i="44"/>
  <c r="AA55" i="44"/>
  <c r="Z55" i="44"/>
  <c r="Y55" i="44"/>
  <c r="X55" i="44"/>
  <c r="W55" i="44"/>
  <c r="V55" i="44"/>
  <c r="U55" i="44"/>
  <c r="T55" i="44"/>
  <c r="S55" i="44"/>
  <c r="R55" i="44"/>
  <c r="Q55" i="44"/>
  <c r="P55" i="44"/>
  <c r="O55" i="44"/>
  <c r="N55" i="44"/>
  <c r="M55" i="44"/>
  <c r="L55" i="44"/>
  <c r="K55" i="44"/>
  <c r="J55" i="44"/>
  <c r="I55" i="44"/>
  <c r="H55" i="44"/>
  <c r="G55" i="44"/>
  <c r="F55" i="44"/>
  <c r="E55" i="44"/>
  <c r="AV54" i="44"/>
  <c r="AU54" i="44"/>
  <c r="AT54" i="44"/>
  <c r="AS54" i="44"/>
  <c r="AR54" i="44"/>
  <c r="AQ54" i="44"/>
  <c r="AP54" i="44"/>
  <c r="AO54" i="44"/>
  <c r="AN54" i="44"/>
  <c r="AM54" i="44"/>
  <c r="AL54" i="44"/>
  <c r="AK54" i="44"/>
  <c r="AJ54" i="44"/>
  <c r="AI54" i="44"/>
  <c r="AH54" i="44"/>
  <c r="AG54" i="44"/>
  <c r="AF54" i="44"/>
  <c r="AE54" i="44"/>
  <c r="AD54" i="44"/>
  <c r="AC54" i="44"/>
  <c r="AB54" i="44"/>
  <c r="AA54" i="44"/>
  <c r="Z54" i="44"/>
  <c r="Y54" i="44"/>
  <c r="X54" i="44"/>
  <c r="W54" i="44"/>
  <c r="V54" i="44"/>
  <c r="U54" i="44"/>
  <c r="T54" i="44"/>
  <c r="S54" i="44"/>
  <c r="R54" i="44"/>
  <c r="Q54" i="44"/>
  <c r="P54" i="44"/>
  <c r="O54" i="44"/>
  <c r="N54" i="44"/>
  <c r="M54" i="44"/>
  <c r="L54" i="44"/>
  <c r="K54" i="44"/>
  <c r="J54" i="44"/>
  <c r="I54" i="44"/>
  <c r="H54" i="44"/>
  <c r="G54" i="44"/>
  <c r="F54" i="44"/>
  <c r="E54" i="44"/>
  <c r="AV53" i="44"/>
  <c r="AQ53" i="44"/>
  <c r="AL53" i="44"/>
  <c r="AG53" i="44"/>
  <c r="AB53" i="44"/>
  <c r="W53" i="44"/>
  <c r="R53" i="44"/>
  <c r="M53" i="44"/>
  <c r="AV52" i="44"/>
  <c r="AU52" i="44"/>
  <c r="AT52" i="44"/>
  <c r="AS52" i="44"/>
  <c r="AR52" i="44"/>
  <c r="AQ52" i="44"/>
  <c r="AP52" i="44"/>
  <c r="AO52" i="44"/>
  <c r="AN52" i="44"/>
  <c r="AM52" i="44"/>
  <c r="AL52" i="44"/>
  <c r="AK52" i="44"/>
  <c r="AJ52" i="44"/>
  <c r="AI52" i="44"/>
  <c r="AH52" i="44"/>
  <c r="AG52" i="44"/>
  <c r="AF52" i="44"/>
  <c r="AE52" i="44"/>
  <c r="AD52" i="44"/>
  <c r="AC52" i="44"/>
  <c r="AB52" i="44"/>
  <c r="AA52" i="44"/>
  <c r="Z52" i="44"/>
  <c r="Y52" i="44"/>
  <c r="X52" i="44"/>
  <c r="W52" i="44"/>
  <c r="V52" i="44"/>
  <c r="U52" i="44"/>
  <c r="T52" i="44"/>
  <c r="S52" i="44"/>
  <c r="R52" i="44"/>
  <c r="Q52" i="44"/>
  <c r="P52" i="44"/>
  <c r="O52" i="44"/>
  <c r="N52" i="44"/>
  <c r="M52" i="44"/>
  <c r="L52" i="44"/>
  <c r="K52" i="44"/>
  <c r="J52" i="44"/>
  <c r="I52" i="44"/>
  <c r="H52" i="44"/>
  <c r="G52" i="44"/>
  <c r="F52" i="44"/>
  <c r="E52" i="44"/>
  <c r="AV51" i="44"/>
  <c r="AU51" i="44"/>
  <c r="AT51" i="44"/>
  <c r="AS51" i="44"/>
  <c r="AR51" i="44"/>
  <c r="AQ51" i="44"/>
  <c r="AP51" i="44"/>
  <c r="AO51" i="44"/>
  <c r="AN51" i="44"/>
  <c r="AM51" i="44"/>
  <c r="AL51" i="44"/>
  <c r="AK51" i="44"/>
  <c r="AJ51" i="44"/>
  <c r="AI51" i="44"/>
  <c r="AH51" i="44"/>
  <c r="AG51" i="44"/>
  <c r="AF51" i="44"/>
  <c r="AE51" i="44"/>
  <c r="AD51" i="44"/>
  <c r="AC51" i="44"/>
  <c r="AB51" i="44"/>
  <c r="AA51" i="44"/>
  <c r="Z51" i="44"/>
  <c r="Y51" i="44"/>
  <c r="X51" i="44"/>
  <c r="W51" i="44"/>
  <c r="V51" i="44"/>
  <c r="U51" i="44"/>
  <c r="T51" i="44"/>
  <c r="S51" i="44"/>
  <c r="R51" i="44"/>
  <c r="Q51" i="44"/>
  <c r="P51" i="44"/>
  <c r="O51" i="44"/>
  <c r="N51" i="44"/>
  <c r="M51" i="44"/>
  <c r="L51" i="44"/>
  <c r="K51" i="44"/>
  <c r="J51" i="44"/>
  <c r="I51" i="44"/>
  <c r="H51" i="44"/>
  <c r="G51" i="44"/>
  <c r="F51" i="44"/>
  <c r="E51" i="44"/>
  <c r="AV50" i="44"/>
  <c r="AU50" i="44"/>
  <c r="AT50" i="44"/>
  <c r="AS50" i="44"/>
  <c r="AR50" i="44"/>
  <c r="AQ50" i="44"/>
  <c r="AP50" i="44"/>
  <c r="AO50" i="44"/>
  <c r="AN50" i="44"/>
  <c r="AM50" i="44"/>
  <c r="AL50" i="44"/>
  <c r="AK50" i="44"/>
  <c r="AJ50" i="44"/>
  <c r="AI50" i="44"/>
  <c r="AH50" i="44"/>
  <c r="AG50" i="44"/>
  <c r="AF50" i="44"/>
  <c r="AE50" i="44"/>
  <c r="AD50" i="44"/>
  <c r="AC50" i="44"/>
  <c r="AB50" i="44"/>
  <c r="AA50" i="44"/>
  <c r="Z50" i="44"/>
  <c r="Y50" i="44"/>
  <c r="X50" i="44"/>
  <c r="W50" i="44"/>
  <c r="V50" i="44"/>
  <c r="U50" i="44"/>
  <c r="T50" i="44"/>
  <c r="S50" i="44"/>
  <c r="R50" i="44"/>
  <c r="Q50" i="44"/>
  <c r="P50" i="44"/>
  <c r="O50" i="44"/>
  <c r="N50" i="44"/>
  <c r="M50" i="44"/>
  <c r="L50" i="44"/>
  <c r="K50" i="44"/>
  <c r="J50" i="44"/>
  <c r="I50" i="44"/>
  <c r="H50" i="44"/>
  <c r="G50" i="44"/>
  <c r="F50" i="44"/>
  <c r="E50" i="44"/>
  <c r="AV49" i="44"/>
  <c r="AU49" i="44"/>
  <c r="AT49" i="44"/>
  <c r="AS49" i="44"/>
  <c r="AR49" i="44"/>
  <c r="AQ49" i="44"/>
  <c r="AP49" i="44"/>
  <c r="AO49" i="44"/>
  <c r="AN49" i="44"/>
  <c r="AM49" i="44"/>
  <c r="AL49" i="44"/>
  <c r="AK49" i="44"/>
  <c r="AJ49" i="44"/>
  <c r="AI49" i="44"/>
  <c r="AH49" i="44"/>
  <c r="AG49" i="44"/>
  <c r="AF49" i="44"/>
  <c r="AE49" i="44"/>
  <c r="AD49" i="44"/>
  <c r="AC49" i="44"/>
  <c r="AB49" i="44"/>
  <c r="AA49" i="44"/>
  <c r="Z49" i="44"/>
  <c r="Y49" i="44"/>
  <c r="X49" i="44"/>
  <c r="W49" i="44"/>
  <c r="V49" i="44"/>
  <c r="U49" i="44"/>
  <c r="T49" i="44"/>
  <c r="S49" i="44"/>
  <c r="R49" i="44"/>
  <c r="Q49" i="44"/>
  <c r="P49" i="44"/>
  <c r="O49" i="44"/>
  <c r="N49" i="44"/>
  <c r="M49" i="44"/>
  <c r="L49" i="44"/>
  <c r="K49" i="44"/>
  <c r="J49" i="44"/>
  <c r="I49" i="44"/>
  <c r="H49" i="44"/>
  <c r="G49" i="44"/>
  <c r="F49" i="44"/>
  <c r="E49" i="44"/>
  <c r="AV48" i="44"/>
  <c r="AU48" i="44"/>
  <c r="AT48" i="44"/>
  <c r="AS48" i="44"/>
  <c r="AR48" i="44"/>
  <c r="AQ48" i="44"/>
  <c r="AP48" i="44"/>
  <c r="AO48" i="44"/>
  <c r="AN48" i="44"/>
  <c r="AM48" i="44"/>
  <c r="AL48" i="44"/>
  <c r="AK48" i="44"/>
  <c r="AJ48" i="44"/>
  <c r="AI48" i="44"/>
  <c r="AH48" i="44"/>
  <c r="AG48" i="44"/>
  <c r="AF48" i="44"/>
  <c r="AE48" i="44"/>
  <c r="AD48" i="44"/>
  <c r="AC48" i="44"/>
  <c r="AB48" i="44"/>
  <c r="AA48" i="44"/>
  <c r="Z48" i="44"/>
  <c r="Y48" i="44"/>
  <c r="X48" i="44"/>
  <c r="W48" i="44"/>
  <c r="V48" i="44"/>
  <c r="U48" i="44"/>
  <c r="T48" i="44"/>
  <c r="S48" i="44"/>
  <c r="R48" i="44"/>
  <c r="Q48" i="44"/>
  <c r="P48" i="44"/>
  <c r="O48" i="44"/>
  <c r="N48" i="44"/>
  <c r="M48" i="44"/>
  <c r="L48" i="44"/>
  <c r="K48" i="44"/>
  <c r="J48" i="44"/>
  <c r="I48" i="44"/>
  <c r="H48" i="44"/>
  <c r="G48" i="44"/>
  <c r="F48" i="44"/>
  <c r="E48" i="44"/>
  <c r="AV47" i="44"/>
  <c r="AU47" i="44"/>
  <c r="AT47" i="44"/>
  <c r="AS47" i="44"/>
  <c r="AR47" i="44"/>
  <c r="AQ47" i="44"/>
  <c r="AP47" i="44"/>
  <c r="AO47" i="44"/>
  <c r="AN47" i="44"/>
  <c r="AM47" i="44"/>
  <c r="AL47" i="44"/>
  <c r="AK47" i="44"/>
  <c r="AJ47" i="44"/>
  <c r="AI47" i="44"/>
  <c r="AH47" i="44"/>
  <c r="AG47" i="44"/>
  <c r="AF47" i="44"/>
  <c r="AE47" i="44"/>
  <c r="AD47" i="44"/>
  <c r="AC47" i="44"/>
  <c r="AB47" i="44"/>
  <c r="AA47" i="44"/>
  <c r="Z47" i="44"/>
  <c r="Y47" i="44"/>
  <c r="X47" i="44"/>
  <c r="W47" i="44"/>
  <c r="V47" i="44"/>
  <c r="U47" i="44"/>
  <c r="T47" i="44"/>
  <c r="S47" i="44"/>
  <c r="R47" i="44"/>
  <c r="Q47" i="44"/>
  <c r="P47" i="44"/>
  <c r="O47" i="44"/>
  <c r="N47" i="44"/>
  <c r="M47" i="44"/>
  <c r="L47" i="44"/>
  <c r="K47" i="44"/>
  <c r="J47" i="44"/>
  <c r="I47" i="44"/>
  <c r="H47" i="44"/>
  <c r="G47" i="44"/>
  <c r="F47" i="44"/>
  <c r="E47" i="44"/>
  <c r="AV46" i="44"/>
  <c r="AU46" i="44"/>
  <c r="AT46" i="44"/>
  <c r="AS46" i="44"/>
  <c r="AR46" i="44"/>
  <c r="AQ46" i="44"/>
  <c r="AP46" i="44"/>
  <c r="AO46" i="44"/>
  <c r="AN46" i="44"/>
  <c r="AM46" i="44"/>
  <c r="AL46" i="44"/>
  <c r="AK46" i="44"/>
  <c r="AJ46" i="44"/>
  <c r="AI46" i="44"/>
  <c r="AH46" i="44"/>
  <c r="AG46" i="44"/>
  <c r="AF46" i="44"/>
  <c r="AE46" i="44"/>
  <c r="AD46" i="44"/>
  <c r="AC46" i="44"/>
  <c r="AB46" i="44"/>
  <c r="AA46" i="44"/>
  <c r="Z46" i="44"/>
  <c r="Y46" i="44"/>
  <c r="X46" i="44"/>
  <c r="W46" i="44"/>
  <c r="V46" i="44"/>
  <c r="U46" i="44"/>
  <c r="T46" i="44"/>
  <c r="S46" i="44"/>
  <c r="R46" i="44"/>
  <c r="Q46" i="44"/>
  <c r="P46" i="44"/>
  <c r="O46" i="44"/>
  <c r="N46" i="44"/>
  <c r="M46" i="44"/>
  <c r="L46" i="44"/>
  <c r="K46" i="44"/>
  <c r="J46" i="44"/>
  <c r="I46" i="44"/>
  <c r="H46" i="44"/>
  <c r="G46" i="44"/>
  <c r="F46" i="44"/>
  <c r="E46" i="44"/>
  <c r="D67" i="44"/>
  <c r="D66" i="44"/>
  <c r="D65" i="44"/>
  <c r="D64" i="44"/>
  <c r="D63" i="44"/>
  <c r="D62" i="44"/>
  <c r="D61" i="44"/>
  <c r="D60" i="44"/>
  <c r="D59" i="44"/>
  <c r="D58" i="44"/>
  <c r="D57" i="44"/>
  <c r="D56" i="44"/>
  <c r="D55" i="44"/>
  <c r="D54" i="44"/>
  <c r="D52" i="44"/>
  <c r="D51" i="44"/>
  <c r="D50" i="44"/>
  <c r="D49" i="44"/>
  <c r="D48" i="44"/>
  <c r="D47" i="44"/>
  <c r="D46" i="44"/>
  <c r="U42" i="44"/>
  <c r="T42" i="44"/>
  <c r="S42" i="44"/>
  <c r="R42" i="44"/>
  <c r="Q42" i="44"/>
  <c r="P42" i="44"/>
  <c r="O42" i="44"/>
  <c r="N42" i="44"/>
  <c r="M42" i="44"/>
  <c r="L42" i="44"/>
  <c r="K42" i="44"/>
  <c r="J42" i="44"/>
  <c r="I42" i="44"/>
  <c r="H42" i="44"/>
  <c r="G42" i="44"/>
  <c r="F42" i="44"/>
  <c r="E42" i="44"/>
  <c r="U41" i="44"/>
  <c r="T41" i="44"/>
  <c r="S41" i="44"/>
  <c r="R41" i="44"/>
  <c r="Q41" i="44"/>
  <c r="P41" i="44"/>
  <c r="O41" i="44"/>
  <c r="N41" i="44"/>
  <c r="M41" i="44"/>
  <c r="L41" i="44"/>
  <c r="K41" i="44"/>
  <c r="J41" i="44"/>
  <c r="I41" i="44"/>
  <c r="H41" i="44"/>
  <c r="G41" i="44"/>
  <c r="F41" i="44"/>
  <c r="E41" i="44"/>
  <c r="AV40" i="44"/>
  <c r="AU40" i="44"/>
  <c r="AT40" i="44"/>
  <c r="AS40" i="44"/>
  <c r="AR40" i="44"/>
  <c r="AQ40" i="44"/>
  <c r="AP40" i="44"/>
  <c r="AO40" i="44"/>
  <c r="AN40" i="44"/>
  <c r="AM40" i="44"/>
  <c r="AL40" i="44"/>
  <c r="AK40" i="44"/>
  <c r="AJ40" i="44"/>
  <c r="AI40" i="44"/>
  <c r="AH40" i="44"/>
  <c r="AG40" i="44"/>
  <c r="AF40" i="44"/>
  <c r="AE40" i="44"/>
  <c r="AD40" i="44"/>
  <c r="AC40" i="44"/>
  <c r="AB40" i="44"/>
  <c r="AA40" i="44"/>
  <c r="Z40" i="44"/>
  <c r="Y40" i="44"/>
  <c r="X40" i="44"/>
  <c r="W40" i="44"/>
  <c r="V40" i="44"/>
  <c r="U40" i="44"/>
  <c r="T40" i="44"/>
  <c r="S40" i="44"/>
  <c r="R40" i="44"/>
  <c r="Q40" i="44"/>
  <c r="P40" i="44"/>
  <c r="O40" i="44"/>
  <c r="N40" i="44"/>
  <c r="M40" i="44"/>
  <c r="L40" i="44"/>
  <c r="K40" i="44"/>
  <c r="J40" i="44"/>
  <c r="I40" i="44"/>
  <c r="H40" i="44"/>
  <c r="G40" i="44"/>
  <c r="F40" i="44"/>
  <c r="E40" i="44"/>
  <c r="AV39" i="44"/>
  <c r="AU39" i="44"/>
  <c r="AT39" i="44"/>
  <c r="AS39" i="44"/>
  <c r="AR39" i="44"/>
  <c r="AQ39" i="44"/>
  <c r="AP39" i="44"/>
  <c r="AO39" i="44"/>
  <c r="AN39" i="44"/>
  <c r="AM39" i="44"/>
  <c r="AL39" i="44"/>
  <c r="AK39" i="44"/>
  <c r="AJ39" i="44"/>
  <c r="AI39" i="44"/>
  <c r="AH39" i="44"/>
  <c r="AG39" i="44"/>
  <c r="AF39" i="44"/>
  <c r="AE39" i="44"/>
  <c r="AD39" i="44"/>
  <c r="AC39" i="44"/>
  <c r="AB39" i="44"/>
  <c r="AA39" i="44"/>
  <c r="Z39" i="44"/>
  <c r="Y39" i="44"/>
  <c r="X39" i="44"/>
  <c r="W39" i="44"/>
  <c r="V39" i="44"/>
  <c r="U39" i="44"/>
  <c r="T39" i="44"/>
  <c r="S39" i="44"/>
  <c r="R39" i="44"/>
  <c r="Q39" i="44"/>
  <c r="P39" i="44"/>
  <c r="O39" i="44"/>
  <c r="N39" i="44"/>
  <c r="M39" i="44"/>
  <c r="L39" i="44"/>
  <c r="K39" i="44"/>
  <c r="J39" i="44"/>
  <c r="I39" i="44"/>
  <c r="H39" i="44"/>
  <c r="G39" i="44"/>
  <c r="F39" i="44"/>
  <c r="E39" i="44"/>
  <c r="U38" i="44"/>
  <c r="T38" i="44"/>
  <c r="S38" i="44"/>
  <c r="R38" i="44"/>
  <c r="Q38" i="44"/>
  <c r="P38" i="44"/>
  <c r="O38" i="44"/>
  <c r="N38" i="44"/>
  <c r="M38" i="44"/>
  <c r="L38" i="44"/>
  <c r="K38" i="44"/>
  <c r="J38" i="44"/>
  <c r="I38" i="44"/>
  <c r="H38" i="44"/>
  <c r="G38" i="44"/>
  <c r="F38" i="44"/>
  <c r="E38" i="44"/>
  <c r="AU37" i="44"/>
  <c r="AT37" i="44"/>
  <c r="AS37" i="44"/>
  <c r="AR37" i="44"/>
  <c r="AP37" i="44"/>
  <c r="AO37" i="44"/>
  <c r="AN37" i="44"/>
  <c r="AM37" i="44"/>
  <c r="AK37" i="44"/>
  <c r="AJ37" i="44"/>
  <c r="AI37" i="44"/>
  <c r="AH37" i="44"/>
  <c r="AF37" i="44"/>
  <c r="AE37" i="44"/>
  <c r="AD37" i="44"/>
  <c r="AC37" i="44"/>
  <c r="AA37" i="44"/>
  <c r="Z37" i="44"/>
  <c r="Y37" i="44"/>
  <c r="X37" i="44"/>
  <c r="V37" i="44"/>
  <c r="U37" i="44"/>
  <c r="T37" i="44"/>
  <c r="S37" i="44"/>
  <c r="R37" i="44"/>
  <c r="Q37" i="44"/>
  <c r="P37" i="44"/>
  <c r="O37" i="44"/>
  <c r="N37" i="44"/>
  <c r="M37" i="44"/>
  <c r="L37" i="44"/>
  <c r="K37" i="44"/>
  <c r="J37" i="44"/>
  <c r="I37" i="44"/>
  <c r="H37" i="44"/>
  <c r="G37" i="44"/>
  <c r="F37" i="44"/>
  <c r="E37" i="44"/>
  <c r="D42" i="44"/>
  <c r="D41" i="44"/>
  <c r="D40" i="44"/>
  <c r="D39" i="44"/>
  <c r="D38" i="44"/>
  <c r="D37" i="44"/>
  <c r="U35" i="44"/>
  <c r="T35" i="44"/>
  <c r="S35" i="44"/>
  <c r="R35" i="44"/>
  <c r="Q35" i="44"/>
  <c r="P35" i="44"/>
  <c r="O35" i="44"/>
  <c r="N35" i="44"/>
  <c r="M35" i="44"/>
  <c r="L35" i="44"/>
  <c r="K35" i="44"/>
  <c r="J35" i="44"/>
  <c r="I35" i="44"/>
  <c r="H35" i="44"/>
  <c r="G35" i="44"/>
  <c r="F35" i="44"/>
  <c r="E35" i="44"/>
  <c r="AV34" i="44"/>
  <c r="AU34" i="44"/>
  <c r="AT34" i="44"/>
  <c r="AS34" i="44"/>
  <c r="AR34" i="44"/>
  <c r="AQ34" i="44"/>
  <c r="AP34" i="44"/>
  <c r="AO34" i="44"/>
  <c r="AN34" i="44"/>
  <c r="AM34" i="44"/>
  <c r="AL34" i="44"/>
  <c r="AK34" i="44"/>
  <c r="AJ34" i="44"/>
  <c r="AI34" i="44"/>
  <c r="AH34" i="44"/>
  <c r="AG34" i="44"/>
  <c r="AF34" i="44"/>
  <c r="AE34" i="44"/>
  <c r="AD34" i="44"/>
  <c r="AC34" i="44"/>
  <c r="AB34" i="44"/>
  <c r="AA34" i="44"/>
  <c r="Z34" i="44"/>
  <c r="Y34" i="44"/>
  <c r="X34" i="44"/>
  <c r="W34" i="44"/>
  <c r="V34" i="44"/>
  <c r="U34" i="44"/>
  <c r="T34" i="44"/>
  <c r="S34" i="44"/>
  <c r="R34" i="44"/>
  <c r="Q34" i="44"/>
  <c r="P34" i="44"/>
  <c r="O34" i="44"/>
  <c r="N34" i="44"/>
  <c r="M34" i="44"/>
  <c r="L34" i="44"/>
  <c r="K34" i="44"/>
  <c r="J34" i="44"/>
  <c r="I34" i="44"/>
  <c r="H34" i="44"/>
  <c r="G34" i="44"/>
  <c r="F34" i="44"/>
  <c r="E34" i="44"/>
  <c r="AV33" i="44"/>
  <c r="AU33" i="44"/>
  <c r="AT33" i="44"/>
  <c r="AS33" i="44"/>
  <c r="AR33" i="44"/>
  <c r="AQ33" i="44"/>
  <c r="AP33" i="44"/>
  <c r="AO33" i="44"/>
  <c r="AN33" i="44"/>
  <c r="AM33" i="44"/>
  <c r="AL33" i="44"/>
  <c r="AK33" i="44"/>
  <c r="AJ33" i="44"/>
  <c r="AI33" i="44"/>
  <c r="AH33" i="44"/>
  <c r="AG33" i="44"/>
  <c r="AF33" i="44"/>
  <c r="AE33" i="44"/>
  <c r="AD33" i="44"/>
  <c r="AC33" i="44"/>
  <c r="AB33" i="44"/>
  <c r="AA33" i="44"/>
  <c r="Z33" i="44"/>
  <c r="Y33" i="44"/>
  <c r="X33" i="44"/>
  <c r="W33" i="44"/>
  <c r="V33" i="44"/>
  <c r="U33" i="44"/>
  <c r="T33" i="44"/>
  <c r="S33" i="44"/>
  <c r="R33" i="44"/>
  <c r="Q33" i="44"/>
  <c r="P33" i="44"/>
  <c r="O33" i="44"/>
  <c r="N33" i="44"/>
  <c r="M33" i="44"/>
  <c r="L33" i="44"/>
  <c r="K33" i="44"/>
  <c r="J33" i="44"/>
  <c r="I33" i="44"/>
  <c r="H33" i="44"/>
  <c r="G33" i="44"/>
  <c r="F33" i="44"/>
  <c r="E33" i="44"/>
  <c r="AV32" i="44"/>
  <c r="AU32" i="44"/>
  <c r="AT32" i="44"/>
  <c r="AS32" i="44"/>
  <c r="AR32" i="44"/>
  <c r="AQ32" i="44"/>
  <c r="AP32" i="44"/>
  <c r="AO32" i="44"/>
  <c r="AN32" i="44"/>
  <c r="AM32" i="44"/>
  <c r="AL32" i="44"/>
  <c r="AK32" i="44"/>
  <c r="AJ32" i="44"/>
  <c r="AI32" i="44"/>
  <c r="AH32" i="44"/>
  <c r="AG32" i="44"/>
  <c r="AF32" i="44"/>
  <c r="AE32" i="44"/>
  <c r="AD32" i="44"/>
  <c r="AC32" i="44"/>
  <c r="AB32" i="44"/>
  <c r="AA32" i="44"/>
  <c r="Z32" i="44"/>
  <c r="Y32" i="44"/>
  <c r="X32" i="44"/>
  <c r="W32" i="44"/>
  <c r="V32" i="44"/>
  <c r="U32" i="44"/>
  <c r="T32" i="44"/>
  <c r="S32" i="44"/>
  <c r="R32" i="44"/>
  <c r="Q32" i="44"/>
  <c r="P32" i="44"/>
  <c r="O32" i="44"/>
  <c r="N32" i="44"/>
  <c r="M32" i="44"/>
  <c r="L32" i="44"/>
  <c r="K32" i="44"/>
  <c r="J32" i="44"/>
  <c r="I32" i="44"/>
  <c r="H32" i="44"/>
  <c r="G32" i="44"/>
  <c r="F32" i="44"/>
  <c r="E32" i="44"/>
  <c r="AE31" i="44"/>
  <c r="AD31" i="44"/>
  <c r="AC31" i="44"/>
  <c r="AB31" i="44"/>
  <c r="AA31" i="44"/>
  <c r="Z31" i="44"/>
  <c r="Y31" i="44"/>
  <c r="X31" i="44"/>
  <c r="W31" i="44"/>
  <c r="V31" i="44"/>
  <c r="U31" i="44"/>
  <c r="T31" i="44"/>
  <c r="S31" i="44"/>
  <c r="R31" i="44"/>
  <c r="Q31" i="44"/>
  <c r="P31" i="44"/>
  <c r="O31" i="44"/>
  <c r="N31" i="44"/>
  <c r="M31" i="44"/>
  <c r="L31" i="44"/>
  <c r="K31" i="44"/>
  <c r="J31" i="44"/>
  <c r="I31" i="44"/>
  <c r="H31" i="44"/>
  <c r="G31" i="44"/>
  <c r="F31" i="44"/>
  <c r="E31" i="44"/>
  <c r="U30" i="44"/>
  <c r="T30" i="44"/>
  <c r="S30" i="44"/>
  <c r="R30" i="44"/>
  <c r="Q30" i="44"/>
  <c r="P30" i="44"/>
  <c r="O30" i="44"/>
  <c r="N30" i="44"/>
  <c r="M30" i="44"/>
  <c r="L30" i="44"/>
  <c r="K30" i="44"/>
  <c r="J30" i="44"/>
  <c r="I30" i="44"/>
  <c r="H30" i="44"/>
  <c r="G30" i="44"/>
  <c r="F30" i="44"/>
  <c r="E30" i="44"/>
  <c r="AV29" i="44"/>
  <c r="AU29" i="44"/>
  <c r="AT29" i="44"/>
  <c r="AS29" i="44"/>
  <c r="AR29" i="44"/>
  <c r="AQ29" i="44"/>
  <c r="AP29" i="44"/>
  <c r="AO29" i="44"/>
  <c r="AN29" i="44"/>
  <c r="AM29" i="44"/>
  <c r="AL29" i="44"/>
  <c r="AK29" i="44"/>
  <c r="AJ29" i="44"/>
  <c r="AI29" i="44"/>
  <c r="AH29" i="44"/>
  <c r="AG29" i="44"/>
  <c r="AF29" i="44"/>
  <c r="AE29" i="44"/>
  <c r="AD29" i="44"/>
  <c r="AC29" i="44"/>
  <c r="AB29" i="44"/>
  <c r="AA29" i="44"/>
  <c r="Z29" i="44"/>
  <c r="Y29" i="44"/>
  <c r="X29" i="44"/>
  <c r="W29" i="44"/>
  <c r="V29" i="44"/>
  <c r="U29" i="44"/>
  <c r="T29" i="44"/>
  <c r="S29" i="44"/>
  <c r="R29" i="44"/>
  <c r="Q29" i="44"/>
  <c r="P29" i="44"/>
  <c r="O29" i="44"/>
  <c r="N29" i="44"/>
  <c r="M29" i="44"/>
  <c r="L29" i="44"/>
  <c r="K29" i="44"/>
  <c r="J29" i="44"/>
  <c r="I29" i="44"/>
  <c r="H29" i="44"/>
  <c r="G29" i="44"/>
  <c r="F29" i="44"/>
  <c r="E29" i="44"/>
  <c r="AV28" i="44"/>
  <c r="AU28" i="44"/>
  <c r="AT28" i="44"/>
  <c r="AS28" i="44"/>
  <c r="AR28" i="44"/>
  <c r="AQ28" i="44"/>
  <c r="AP28" i="44"/>
  <c r="AO28" i="44"/>
  <c r="AN28" i="44"/>
  <c r="AM28" i="44"/>
  <c r="AL28" i="44"/>
  <c r="AK28" i="44"/>
  <c r="AJ28" i="44"/>
  <c r="AI28" i="44"/>
  <c r="AH28" i="44"/>
  <c r="AG28" i="44"/>
  <c r="AF28" i="44"/>
  <c r="AE28" i="44"/>
  <c r="AD28" i="44"/>
  <c r="AC28" i="44"/>
  <c r="AB28" i="44"/>
  <c r="AA28" i="44"/>
  <c r="Z28" i="44"/>
  <c r="Y28" i="44"/>
  <c r="X28" i="44"/>
  <c r="W28" i="44"/>
  <c r="V28" i="44"/>
  <c r="U28" i="44"/>
  <c r="T28" i="44"/>
  <c r="S28" i="44"/>
  <c r="R28" i="44"/>
  <c r="Q28" i="44"/>
  <c r="P28" i="44"/>
  <c r="O28" i="44"/>
  <c r="N28" i="44"/>
  <c r="M28" i="44"/>
  <c r="L28" i="44"/>
  <c r="K28" i="44"/>
  <c r="J28" i="44"/>
  <c r="I28" i="44"/>
  <c r="H28" i="44"/>
  <c r="G28" i="44"/>
  <c r="F28" i="44"/>
  <c r="E28" i="44"/>
  <c r="AV27" i="44"/>
  <c r="AU27" i="44"/>
  <c r="AT27" i="44"/>
  <c r="AS27" i="44"/>
  <c r="AR27" i="44"/>
  <c r="AQ27" i="44"/>
  <c r="AP27" i="44"/>
  <c r="AO27" i="44"/>
  <c r="AN27" i="44"/>
  <c r="AM27" i="44"/>
  <c r="AL27" i="44"/>
  <c r="AK27" i="44"/>
  <c r="AJ27" i="44"/>
  <c r="AI27" i="44"/>
  <c r="AH27" i="44"/>
  <c r="AG27" i="44"/>
  <c r="AF27" i="44"/>
  <c r="AE27" i="44"/>
  <c r="AD27" i="44"/>
  <c r="AC27" i="44"/>
  <c r="AB27" i="44"/>
  <c r="AA27" i="44"/>
  <c r="Z27" i="44"/>
  <c r="Y27" i="44"/>
  <c r="X27" i="44"/>
  <c r="W27" i="44"/>
  <c r="V27" i="44"/>
  <c r="U27" i="44"/>
  <c r="T27" i="44"/>
  <c r="S27" i="44"/>
  <c r="R27" i="44"/>
  <c r="Q27" i="44"/>
  <c r="P27" i="44"/>
  <c r="O27" i="44"/>
  <c r="N27" i="44"/>
  <c r="M27" i="44"/>
  <c r="L27" i="44"/>
  <c r="K27" i="44"/>
  <c r="J27" i="44"/>
  <c r="I27" i="44"/>
  <c r="H27" i="44"/>
  <c r="G27" i="44"/>
  <c r="F27" i="44"/>
  <c r="E27" i="44"/>
  <c r="AV26" i="44"/>
  <c r="AU26" i="44"/>
  <c r="AT26" i="44"/>
  <c r="AS26" i="44"/>
  <c r="AR26" i="44"/>
  <c r="AQ26" i="44"/>
  <c r="AP26" i="44"/>
  <c r="AO26" i="44"/>
  <c r="AN26" i="44"/>
  <c r="AM26" i="44"/>
  <c r="AL26" i="44"/>
  <c r="AK26" i="44"/>
  <c r="AJ26" i="44"/>
  <c r="AI26" i="44"/>
  <c r="AH26" i="44"/>
  <c r="AG26" i="44"/>
  <c r="AF26" i="44"/>
  <c r="AE26" i="44"/>
  <c r="AD26" i="44"/>
  <c r="AC26" i="44"/>
  <c r="AB26" i="44"/>
  <c r="AA26" i="44"/>
  <c r="Z26" i="44"/>
  <c r="Y26" i="44"/>
  <c r="X26" i="44"/>
  <c r="W26" i="44"/>
  <c r="V26" i="44"/>
  <c r="U26" i="44"/>
  <c r="T26" i="44"/>
  <c r="S26" i="44"/>
  <c r="R26" i="44"/>
  <c r="Q26" i="44"/>
  <c r="P26" i="44"/>
  <c r="O26" i="44"/>
  <c r="N26" i="44"/>
  <c r="M26" i="44"/>
  <c r="L26" i="44"/>
  <c r="K26" i="44"/>
  <c r="J26" i="44"/>
  <c r="I26" i="44"/>
  <c r="H26" i="44"/>
  <c r="G26" i="44"/>
  <c r="F26" i="44"/>
  <c r="E26" i="44"/>
  <c r="AV25" i="44"/>
  <c r="AU25" i="44"/>
  <c r="AT25" i="44"/>
  <c r="AS25" i="44"/>
  <c r="AR25" i="44"/>
  <c r="AQ25" i="44"/>
  <c r="AP25" i="44"/>
  <c r="AO25" i="44"/>
  <c r="AN25" i="44"/>
  <c r="AM25" i="44"/>
  <c r="AL25" i="44"/>
  <c r="AK25" i="44"/>
  <c r="AJ25" i="44"/>
  <c r="AI25" i="44"/>
  <c r="AH25" i="44"/>
  <c r="AG25" i="44"/>
  <c r="AF25" i="44"/>
  <c r="AE25" i="44"/>
  <c r="AD25" i="44"/>
  <c r="AC25" i="44"/>
  <c r="AB25" i="44"/>
  <c r="AA25" i="44"/>
  <c r="Z25" i="44"/>
  <c r="Y25" i="44"/>
  <c r="X25" i="44"/>
  <c r="W25" i="44"/>
  <c r="V25" i="44"/>
  <c r="U25" i="44"/>
  <c r="T25" i="44"/>
  <c r="S25" i="44"/>
  <c r="R25" i="44"/>
  <c r="Q25" i="44"/>
  <c r="P25" i="44"/>
  <c r="O25" i="44"/>
  <c r="N25" i="44"/>
  <c r="M25" i="44"/>
  <c r="L25" i="44"/>
  <c r="K25" i="44"/>
  <c r="J25" i="44"/>
  <c r="I25" i="44"/>
  <c r="H25" i="44"/>
  <c r="G25" i="44"/>
  <c r="F25" i="44"/>
  <c r="E25" i="44"/>
  <c r="AV24" i="44"/>
  <c r="AU24" i="44"/>
  <c r="AT24" i="44"/>
  <c r="AS24" i="44"/>
  <c r="AR24" i="44"/>
  <c r="AQ24" i="44"/>
  <c r="AP24" i="44"/>
  <c r="AO24" i="44"/>
  <c r="AN24" i="44"/>
  <c r="AM24" i="44"/>
  <c r="AL24" i="44"/>
  <c r="AK24" i="44"/>
  <c r="AJ24" i="44"/>
  <c r="AI24" i="44"/>
  <c r="AH24" i="44"/>
  <c r="AG24" i="44"/>
  <c r="AF24" i="44"/>
  <c r="AE24" i="44"/>
  <c r="AD24" i="44"/>
  <c r="AC24" i="44"/>
  <c r="AB24" i="44"/>
  <c r="AA24" i="44"/>
  <c r="Z24" i="44"/>
  <c r="Y24" i="44"/>
  <c r="X24" i="44"/>
  <c r="W24" i="44"/>
  <c r="V24" i="44"/>
  <c r="U24" i="44"/>
  <c r="T24" i="44"/>
  <c r="S24" i="44"/>
  <c r="R24" i="44"/>
  <c r="Q24" i="44"/>
  <c r="P24" i="44"/>
  <c r="O24" i="44"/>
  <c r="N24" i="44"/>
  <c r="M24" i="44"/>
  <c r="L24" i="44"/>
  <c r="K24" i="44"/>
  <c r="J24" i="44"/>
  <c r="I24" i="44"/>
  <c r="H24" i="44"/>
  <c r="G24" i="44"/>
  <c r="F24" i="44"/>
  <c r="E24" i="44"/>
  <c r="AV23" i="44"/>
  <c r="AU23" i="44"/>
  <c r="AT23" i="44"/>
  <c r="AS23" i="44"/>
  <c r="AR23" i="44"/>
  <c r="AQ23" i="44"/>
  <c r="AP23" i="44"/>
  <c r="AO23" i="44"/>
  <c r="AN23" i="44"/>
  <c r="AM23" i="44"/>
  <c r="AL23" i="44"/>
  <c r="AK23" i="44"/>
  <c r="AJ23" i="44"/>
  <c r="AI23" i="44"/>
  <c r="AH23" i="44"/>
  <c r="AG23" i="44"/>
  <c r="AF23" i="44"/>
  <c r="AE23" i="44"/>
  <c r="AD23" i="44"/>
  <c r="AC23" i="44"/>
  <c r="AB23" i="44"/>
  <c r="AA23" i="44"/>
  <c r="Z23" i="44"/>
  <c r="Y23" i="44"/>
  <c r="X23" i="44"/>
  <c r="W23" i="44"/>
  <c r="V23" i="44"/>
  <c r="U23" i="44"/>
  <c r="T23" i="44"/>
  <c r="S23" i="44"/>
  <c r="R23" i="44"/>
  <c r="Q23" i="44"/>
  <c r="P23" i="44"/>
  <c r="O23" i="44"/>
  <c r="N23" i="44"/>
  <c r="M23" i="44"/>
  <c r="L23" i="44"/>
  <c r="K23" i="44"/>
  <c r="J23" i="44"/>
  <c r="I23" i="44"/>
  <c r="H23" i="44"/>
  <c r="G23" i="44"/>
  <c r="F23" i="44"/>
  <c r="E23" i="44"/>
  <c r="AT22" i="44"/>
  <c r="AS22" i="44"/>
  <c r="AO22" i="44"/>
  <c r="AN22" i="44"/>
  <c r="AJ22" i="44"/>
  <c r="AI22" i="44"/>
  <c r="AE22" i="44"/>
  <c r="AD22" i="44"/>
  <c r="AA22" i="44"/>
  <c r="Z22" i="44"/>
  <c r="Y22" i="44"/>
  <c r="X22" i="44"/>
  <c r="V22" i="44"/>
  <c r="U22" i="44"/>
  <c r="T22" i="44"/>
  <c r="S22" i="44"/>
  <c r="R22" i="44"/>
  <c r="Q22" i="44"/>
  <c r="P22" i="44"/>
  <c r="O22" i="44"/>
  <c r="N22" i="44"/>
  <c r="M22" i="44"/>
  <c r="L22" i="44"/>
  <c r="K22" i="44"/>
  <c r="J22" i="44"/>
  <c r="I22" i="44"/>
  <c r="H22" i="44"/>
  <c r="G22" i="44"/>
  <c r="F22" i="44"/>
  <c r="E22" i="44"/>
  <c r="D35" i="44"/>
  <c r="D34" i="44"/>
  <c r="D33" i="44"/>
  <c r="D32" i="44"/>
  <c r="D31" i="44"/>
  <c r="D30" i="44"/>
  <c r="D29" i="44"/>
  <c r="D28" i="44"/>
  <c r="D27" i="44"/>
  <c r="D26" i="44"/>
  <c r="D25" i="44"/>
  <c r="D24" i="44"/>
  <c r="D23" i="44"/>
  <c r="D22" i="44"/>
  <c r="AV19" i="44"/>
  <c r="AU19" i="44"/>
  <c r="AT19" i="44"/>
  <c r="AS19" i="44"/>
  <c r="AR19" i="44"/>
  <c r="AQ19" i="44"/>
  <c r="AP19" i="44"/>
  <c r="AO19" i="44"/>
  <c r="AN19" i="44"/>
  <c r="AM19" i="44"/>
  <c r="AL19" i="44"/>
  <c r="AK19" i="44"/>
  <c r="AJ19" i="44"/>
  <c r="AI19" i="44"/>
  <c r="AH19" i="44"/>
  <c r="AG19" i="44"/>
  <c r="AF19" i="44"/>
  <c r="AE19" i="44"/>
  <c r="AD19" i="44"/>
  <c r="AC19" i="44"/>
  <c r="AB19" i="44"/>
  <c r="AA19" i="44"/>
  <c r="Z19" i="44"/>
  <c r="Y19" i="44"/>
  <c r="X19" i="44"/>
  <c r="W19" i="44"/>
  <c r="V19" i="44"/>
  <c r="U19" i="44"/>
  <c r="T19" i="44"/>
  <c r="S19" i="44"/>
  <c r="R19" i="44"/>
  <c r="Q19" i="44"/>
  <c r="P19" i="44"/>
  <c r="O19" i="44"/>
  <c r="N19" i="44"/>
  <c r="M19" i="44"/>
  <c r="L19" i="44"/>
  <c r="K19" i="44"/>
  <c r="J19" i="44"/>
  <c r="I19" i="44"/>
  <c r="H19" i="44"/>
  <c r="G19" i="44"/>
  <c r="F19" i="44"/>
  <c r="E19" i="44"/>
  <c r="AV18" i="44"/>
  <c r="AU18" i="44"/>
  <c r="AT18" i="44"/>
  <c r="AS18" i="44"/>
  <c r="AR18" i="44"/>
  <c r="AQ18" i="44"/>
  <c r="AP18" i="44"/>
  <c r="AO18" i="44"/>
  <c r="AN18" i="44"/>
  <c r="AM18" i="44"/>
  <c r="AL18" i="44"/>
  <c r="AK18" i="44"/>
  <c r="AJ18" i="44"/>
  <c r="AI18" i="44"/>
  <c r="AH18" i="44"/>
  <c r="AG18" i="44"/>
  <c r="AF18" i="44"/>
  <c r="AE18" i="44"/>
  <c r="AD18" i="44"/>
  <c r="AC18" i="44"/>
  <c r="AB18" i="44"/>
  <c r="AA18" i="44"/>
  <c r="Z18" i="44"/>
  <c r="Y18" i="44"/>
  <c r="X18" i="44"/>
  <c r="W18" i="44"/>
  <c r="V18" i="44"/>
  <c r="U18" i="44"/>
  <c r="T18" i="44"/>
  <c r="S18" i="44"/>
  <c r="R18" i="44"/>
  <c r="Q18" i="44"/>
  <c r="P18" i="44"/>
  <c r="O18" i="44"/>
  <c r="N18" i="44"/>
  <c r="M18" i="44"/>
  <c r="L18" i="44"/>
  <c r="K18" i="44"/>
  <c r="J18" i="44"/>
  <c r="I18" i="44"/>
  <c r="H18" i="44"/>
  <c r="G18" i="44"/>
  <c r="F18" i="44"/>
  <c r="E18" i="44"/>
  <c r="U17" i="44"/>
  <c r="T17" i="44"/>
  <c r="S17" i="44"/>
  <c r="R17" i="44"/>
  <c r="Q17" i="44"/>
  <c r="P17" i="44"/>
  <c r="O17" i="44"/>
  <c r="N17" i="44"/>
  <c r="M17" i="44"/>
  <c r="L17" i="44"/>
  <c r="K17" i="44"/>
  <c r="J17" i="44"/>
  <c r="I17" i="44"/>
  <c r="H17" i="44"/>
  <c r="G17" i="44"/>
  <c r="F17" i="44"/>
  <c r="E17" i="44"/>
  <c r="AV16" i="44"/>
  <c r="AU16" i="44"/>
  <c r="AT16" i="44"/>
  <c r="AS16" i="44"/>
  <c r="AR16" i="44"/>
  <c r="AQ16" i="44"/>
  <c r="AP16" i="44"/>
  <c r="AO16" i="44"/>
  <c r="AN16" i="44"/>
  <c r="AM16" i="44"/>
  <c r="AL16" i="44"/>
  <c r="AK16" i="44"/>
  <c r="AJ16" i="44"/>
  <c r="AI16" i="44"/>
  <c r="AH16" i="44"/>
  <c r="AG16" i="44"/>
  <c r="AF16" i="44"/>
  <c r="AE16" i="44"/>
  <c r="AD16" i="44"/>
  <c r="AC16" i="44"/>
  <c r="AB16" i="44"/>
  <c r="AA16" i="44"/>
  <c r="Z16" i="44"/>
  <c r="Y16" i="44"/>
  <c r="X16" i="44"/>
  <c r="W16" i="44"/>
  <c r="V16" i="44"/>
  <c r="U16" i="44"/>
  <c r="T16" i="44"/>
  <c r="S16" i="44"/>
  <c r="R16" i="44"/>
  <c r="Q16" i="44"/>
  <c r="P16" i="44"/>
  <c r="O16" i="44"/>
  <c r="N16" i="44"/>
  <c r="M16" i="44"/>
  <c r="L16" i="44"/>
  <c r="K16" i="44"/>
  <c r="J16" i="44"/>
  <c r="I16" i="44"/>
  <c r="H16" i="44"/>
  <c r="G16" i="44"/>
  <c r="F16" i="44"/>
  <c r="E16" i="44"/>
  <c r="AV15" i="44"/>
  <c r="AU15" i="44"/>
  <c r="AT15" i="44"/>
  <c r="AS15" i="44"/>
  <c r="AR15" i="44"/>
  <c r="AQ15" i="44"/>
  <c r="AP15" i="44"/>
  <c r="AO15" i="44"/>
  <c r="AN15" i="44"/>
  <c r="AM15" i="44"/>
  <c r="AL15" i="44"/>
  <c r="AK15" i="44"/>
  <c r="AJ15" i="44"/>
  <c r="AI15" i="44"/>
  <c r="AH15" i="44"/>
  <c r="AG15" i="44"/>
  <c r="AF15" i="44"/>
  <c r="AE15" i="44"/>
  <c r="AD15" i="44"/>
  <c r="AC15" i="44"/>
  <c r="AB15" i="44"/>
  <c r="AA15" i="44"/>
  <c r="Z15" i="44"/>
  <c r="Y15" i="44"/>
  <c r="X15" i="44"/>
  <c r="W15" i="44"/>
  <c r="V15" i="44"/>
  <c r="U15" i="44"/>
  <c r="T15" i="44"/>
  <c r="S15" i="44"/>
  <c r="R15" i="44"/>
  <c r="Q15" i="44"/>
  <c r="P15" i="44"/>
  <c r="O15" i="44"/>
  <c r="N15" i="44"/>
  <c r="M15" i="44"/>
  <c r="L15" i="44"/>
  <c r="K15" i="44"/>
  <c r="J15" i="44"/>
  <c r="I15" i="44"/>
  <c r="H15" i="44"/>
  <c r="G15" i="44"/>
  <c r="F15" i="44"/>
  <c r="E15" i="44"/>
  <c r="U14" i="44"/>
  <c r="T14" i="44"/>
  <c r="S14" i="44"/>
  <c r="R14" i="44"/>
  <c r="Q14" i="44"/>
  <c r="P14" i="44"/>
  <c r="O14" i="44"/>
  <c r="N14" i="44"/>
  <c r="M14" i="44"/>
  <c r="L14" i="44"/>
  <c r="K14" i="44"/>
  <c r="J14" i="44"/>
  <c r="I14" i="44"/>
  <c r="H14" i="44"/>
  <c r="G14" i="44"/>
  <c r="F14" i="44"/>
  <c r="E14" i="44"/>
  <c r="AV13" i="44"/>
  <c r="AU13" i="44"/>
  <c r="AT13" i="44"/>
  <c r="AS13" i="44"/>
  <c r="AR13" i="44"/>
  <c r="AQ13" i="44"/>
  <c r="AP13" i="44"/>
  <c r="AO13" i="44"/>
  <c r="AN13" i="44"/>
  <c r="AM13" i="44"/>
  <c r="AL13" i="44"/>
  <c r="AK13" i="44"/>
  <c r="AJ13" i="44"/>
  <c r="AI13" i="44"/>
  <c r="AH13" i="44"/>
  <c r="AG13" i="44"/>
  <c r="AF13" i="44"/>
  <c r="AE13" i="44"/>
  <c r="AD13" i="44"/>
  <c r="AC13" i="44"/>
  <c r="AB13" i="44"/>
  <c r="AA13" i="44"/>
  <c r="Z13" i="44"/>
  <c r="Y13" i="44"/>
  <c r="X13" i="44"/>
  <c r="W13" i="44"/>
  <c r="V13" i="44"/>
  <c r="U13" i="44"/>
  <c r="T13" i="44"/>
  <c r="S13" i="44"/>
  <c r="R13" i="44"/>
  <c r="Q13" i="44"/>
  <c r="P13" i="44"/>
  <c r="O13" i="44"/>
  <c r="N13" i="44"/>
  <c r="M13" i="44"/>
  <c r="L13" i="44"/>
  <c r="K13" i="44"/>
  <c r="J13" i="44"/>
  <c r="I13" i="44"/>
  <c r="H13" i="44"/>
  <c r="G13" i="44"/>
  <c r="F13" i="44"/>
  <c r="E13" i="44"/>
  <c r="U12" i="44"/>
  <c r="T12" i="44"/>
  <c r="S12" i="44"/>
  <c r="R12" i="44"/>
  <c r="Q12" i="44"/>
  <c r="P12" i="44"/>
  <c r="O12" i="44"/>
  <c r="N12" i="44"/>
  <c r="M12" i="44"/>
  <c r="L12" i="44"/>
  <c r="K12" i="44"/>
  <c r="J12" i="44"/>
  <c r="I12" i="44"/>
  <c r="H12" i="44"/>
  <c r="G12" i="44"/>
  <c r="F12" i="44"/>
  <c r="E12" i="44"/>
  <c r="AV10" i="44"/>
  <c r="AU10" i="44"/>
  <c r="AT10" i="44"/>
  <c r="AS10" i="44"/>
  <c r="AR10" i="44"/>
  <c r="AQ10" i="44"/>
  <c r="AP10" i="44"/>
  <c r="AO10" i="44"/>
  <c r="AN10" i="44"/>
  <c r="AM10" i="44"/>
  <c r="AL10" i="44"/>
  <c r="AK10" i="44"/>
  <c r="AJ10" i="44"/>
  <c r="AI10" i="44"/>
  <c r="AH10" i="44"/>
  <c r="AG10" i="44"/>
  <c r="AF10" i="44"/>
  <c r="AE10" i="44"/>
  <c r="AD10" i="44"/>
  <c r="AC10" i="44"/>
  <c r="AB10" i="44"/>
  <c r="AA10" i="44"/>
  <c r="Z10" i="44"/>
  <c r="Y10" i="44"/>
  <c r="X10" i="44"/>
  <c r="W10" i="44"/>
  <c r="V10" i="44"/>
  <c r="U10" i="44"/>
  <c r="T10" i="44"/>
  <c r="S10" i="44"/>
  <c r="R10" i="44"/>
  <c r="Q10" i="44"/>
  <c r="P10" i="44"/>
  <c r="O10" i="44"/>
  <c r="N10" i="44"/>
  <c r="M10" i="44"/>
  <c r="L10" i="44"/>
  <c r="K10" i="44"/>
  <c r="J10" i="44"/>
  <c r="I10" i="44"/>
  <c r="H10" i="44"/>
  <c r="G10" i="44"/>
  <c r="F10" i="44"/>
  <c r="E10" i="44"/>
  <c r="AT9" i="44"/>
  <c r="AS9" i="44"/>
  <c r="AO9" i="44"/>
  <c r="AN9" i="44"/>
  <c r="AJ9" i="44"/>
  <c r="AI9" i="44"/>
  <c r="AE9" i="44"/>
  <c r="AD9" i="44"/>
  <c r="AA9" i="44"/>
  <c r="Z9" i="44"/>
  <c r="Y9" i="44"/>
  <c r="X9" i="44"/>
  <c r="V9" i="44"/>
  <c r="U9" i="44"/>
  <c r="T9" i="44"/>
  <c r="S9" i="44"/>
  <c r="R9" i="44"/>
  <c r="Q9" i="44"/>
  <c r="P9" i="44"/>
  <c r="O9" i="44"/>
  <c r="N9" i="44"/>
  <c r="M9" i="44"/>
  <c r="L9" i="44"/>
  <c r="K9" i="44"/>
  <c r="J9" i="44"/>
  <c r="I9" i="44"/>
  <c r="H9" i="44"/>
  <c r="G9" i="44"/>
  <c r="F9" i="44"/>
  <c r="E9" i="44"/>
  <c r="AU8" i="44"/>
  <c r="AT8" i="44"/>
  <c r="AS8" i="44"/>
  <c r="AR8" i="44"/>
  <c r="AP8" i="44"/>
  <c r="AO8" i="44"/>
  <c r="AN8" i="44"/>
  <c r="AM8" i="44"/>
  <c r="AK8" i="44"/>
  <c r="AJ8" i="44"/>
  <c r="AI8" i="44"/>
  <c r="AH8" i="44"/>
  <c r="AF8" i="44"/>
  <c r="AE8" i="44"/>
  <c r="AD8" i="44"/>
  <c r="AC8" i="44"/>
  <c r="AA8" i="44"/>
  <c r="Z8" i="44"/>
  <c r="Y8" i="44"/>
  <c r="X8" i="44"/>
  <c r="V8" i="44"/>
  <c r="U8" i="44"/>
  <c r="T8" i="44"/>
  <c r="S8" i="44"/>
  <c r="R8" i="44"/>
  <c r="Q8" i="44"/>
  <c r="P8" i="44"/>
  <c r="O8" i="44"/>
  <c r="N8" i="44"/>
  <c r="M8" i="44"/>
  <c r="L8" i="44"/>
  <c r="K8" i="44"/>
  <c r="J8" i="44"/>
  <c r="I8" i="44"/>
  <c r="H8" i="44"/>
  <c r="G8" i="44"/>
  <c r="F8" i="44"/>
  <c r="E8" i="44"/>
  <c r="U7" i="44"/>
  <c r="T7" i="44"/>
  <c r="S7" i="44"/>
  <c r="R7" i="44"/>
  <c r="Q7" i="44"/>
  <c r="P7" i="44"/>
  <c r="O7" i="44"/>
  <c r="N7" i="44"/>
  <c r="M7" i="44"/>
  <c r="L7" i="44"/>
  <c r="K7" i="44"/>
  <c r="J7" i="44"/>
  <c r="I7" i="44"/>
  <c r="H7" i="44"/>
  <c r="G7" i="44"/>
  <c r="F7" i="44"/>
  <c r="E7" i="44"/>
  <c r="U6" i="44"/>
  <c r="T6" i="44"/>
  <c r="S6" i="44"/>
  <c r="Q6" i="44"/>
  <c r="P6" i="44"/>
  <c r="O6" i="44"/>
  <c r="N6" i="44"/>
  <c r="L6" i="44"/>
  <c r="K6" i="44"/>
  <c r="J6" i="44"/>
  <c r="I6" i="44"/>
  <c r="G6" i="44"/>
  <c r="F6" i="44"/>
  <c r="E6" i="44"/>
  <c r="D19" i="44"/>
  <c r="D18" i="44"/>
  <c r="D17" i="44"/>
  <c r="D16" i="44"/>
  <c r="D15" i="44"/>
  <c r="D14" i="44"/>
  <c r="D13" i="44"/>
  <c r="D12" i="44"/>
  <c r="D10" i="44"/>
  <c r="D9" i="44"/>
  <c r="D8" i="44"/>
  <c r="D7" i="44"/>
  <c r="D6" i="44"/>
  <c r="AV187" i="42"/>
  <c r="AU187" i="42"/>
  <c r="AT187" i="42"/>
  <c r="AS187" i="42"/>
  <c r="AR187" i="42"/>
  <c r="AQ187" i="42"/>
  <c r="AP187" i="42"/>
  <c r="AO187" i="42"/>
  <c r="AN187" i="42"/>
  <c r="AM187" i="42"/>
  <c r="AL187" i="42"/>
  <c r="AK187" i="42"/>
  <c r="AJ187" i="42"/>
  <c r="AI187" i="42"/>
  <c r="AH187" i="42"/>
  <c r="AG187" i="42"/>
  <c r="AF187" i="42"/>
  <c r="AE187" i="42"/>
  <c r="AD187" i="42"/>
  <c r="AC187" i="42"/>
  <c r="AB187" i="42"/>
  <c r="AA187" i="42"/>
  <c r="Z187" i="42"/>
  <c r="Y187" i="42"/>
  <c r="X187" i="42"/>
  <c r="W187" i="42"/>
  <c r="V187" i="42"/>
  <c r="U187" i="42"/>
  <c r="T187" i="42"/>
  <c r="S187" i="42"/>
  <c r="R187" i="42"/>
  <c r="Q187" i="42"/>
  <c r="AV186" i="42"/>
  <c r="AU186" i="42"/>
  <c r="AT186" i="42"/>
  <c r="AS186" i="42"/>
  <c r="AR186" i="42"/>
  <c r="AQ186" i="42"/>
  <c r="AP186" i="42"/>
  <c r="AO186" i="42"/>
  <c r="AN186" i="42"/>
  <c r="AM186" i="42"/>
  <c r="AL186" i="42"/>
  <c r="AK186" i="42"/>
  <c r="AJ186" i="42"/>
  <c r="AI186" i="42"/>
  <c r="AH186" i="42"/>
  <c r="AG186" i="42"/>
  <c r="AF186" i="42"/>
  <c r="AE186" i="42"/>
  <c r="AD186" i="42"/>
  <c r="AC186" i="42"/>
  <c r="AB186" i="42"/>
  <c r="AA186" i="42"/>
  <c r="Z186" i="42"/>
  <c r="Y186" i="42"/>
  <c r="X186" i="42"/>
  <c r="W186" i="42"/>
  <c r="V186" i="42"/>
  <c r="U186" i="42"/>
  <c r="T186" i="42"/>
  <c r="S186" i="42"/>
  <c r="R186" i="42"/>
  <c r="Q186" i="42"/>
  <c r="AV185" i="42"/>
  <c r="AU185" i="42"/>
  <c r="AT185" i="42"/>
  <c r="AS185" i="42"/>
  <c r="AR185" i="42"/>
  <c r="AQ185" i="42"/>
  <c r="AP185" i="42"/>
  <c r="AO185" i="42"/>
  <c r="AN185" i="42"/>
  <c r="AM185" i="42"/>
  <c r="AL185" i="42"/>
  <c r="AK185" i="42"/>
  <c r="AJ185" i="42"/>
  <c r="AI185" i="42"/>
  <c r="AH185" i="42"/>
  <c r="AG185" i="42"/>
  <c r="AF185" i="42"/>
  <c r="AE185" i="42"/>
  <c r="AD185" i="42"/>
  <c r="AC185" i="42"/>
  <c r="AB185" i="42"/>
  <c r="AA185" i="42"/>
  <c r="Z185" i="42"/>
  <c r="Y185" i="42"/>
  <c r="X185" i="42"/>
  <c r="W185" i="42"/>
  <c r="V185" i="42"/>
  <c r="U185" i="42"/>
  <c r="T185" i="42"/>
  <c r="S185" i="42"/>
  <c r="R185" i="42"/>
  <c r="Q185" i="42"/>
  <c r="AV184" i="42"/>
  <c r="AU184" i="42"/>
  <c r="AT184" i="42"/>
  <c r="AS184" i="42"/>
  <c r="AR184" i="42"/>
  <c r="AQ184" i="42"/>
  <c r="AP184" i="42"/>
  <c r="AO184" i="42"/>
  <c r="AN184" i="42"/>
  <c r="AM184" i="42"/>
  <c r="AL184" i="42"/>
  <c r="AK184" i="42"/>
  <c r="AJ184" i="42"/>
  <c r="AI184" i="42"/>
  <c r="AH184" i="42"/>
  <c r="AG184" i="42"/>
  <c r="AF184" i="42"/>
  <c r="AE184" i="42"/>
  <c r="AD184" i="42"/>
  <c r="AC184" i="42"/>
  <c r="AB184" i="42"/>
  <c r="AA184" i="42"/>
  <c r="Z184" i="42"/>
  <c r="Y184" i="42"/>
  <c r="X184" i="42"/>
  <c r="W184" i="42"/>
  <c r="V184" i="42"/>
  <c r="U184" i="42"/>
  <c r="T184" i="42"/>
  <c r="S184" i="42"/>
  <c r="R184" i="42"/>
  <c r="Q184" i="42"/>
  <c r="AV183" i="42"/>
  <c r="AU183" i="42"/>
  <c r="AT183" i="42"/>
  <c r="AS183" i="42"/>
  <c r="AR183" i="42"/>
  <c r="AQ183" i="42"/>
  <c r="AP183" i="42"/>
  <c r="AO183" i="42"/>
  <c r="AN183" i="42"/>
  <c r="AM183" i="42"/>
  <c r="AL183" i="42"/>
  <c r="AK183" i="42"/>
  <c r="AJ183" i="42"/>
  <c r="AI183" i="42"/>
  <c r="AH183" i="42"/>
  <c r="AG183" i="42"/>
  <c r="AF183" i="42"/>
  <c r="AE183" i="42"/>
  <c r="AD183" i="42"/>
  <c r="AC183" i="42"/>
  <c r="AB183" i="42"/>
  <c r="AA183" i="42"/>
  <c r="Z183" i="42"/>
  <c r="Y183" i="42"/>
  <c r="X183" i="42"/>
  <c r="W183" i="42"/>
  <c r="V183" i="42"/>
  <c r="U183" i="42"/>
  <c r="T183" i="42"/>
  <c r="S183" i="42"/>
  <c r="R183" i="42"/>
  <c r="Q183" i="42"/>
  <c r="AV182" i="42"/>
  <c r="AU182" i="42"/>
  <c r="AT182" i="42"/>
  <c r="AS182" i="42"/>
  <c r="AR182" i="42"/>
  <c r="AQ182" i="42"/>
  <c r="AP182" i="42"/>
  <c r="AO182" i="42"/>
  <c r="AN182" i="42"/>
  <c r="AM182" i="42"/>
  <c r="AL182" i="42"/>
  <c r="AK182" i="42"/>
  <c r="AJ182" i="42"/>
  <c r="AI182" i="42"/>
  <c r="AH182" i="42"/>
  <c r="AG182" i="42"/>
  <c r="AF182" i="42"/>
  <c r="AE182" i="42"/>
  <c r="AD182" i="42"/>
  <c r="AC182" i="42"/>
  <c r="AB182" i="42"/>
  <c r="AA182" i="42"/>
  <c r="Z182" i="42"/>
  <c r="Y182" i="42"/>
  <c r="X182" i="42"/>
  <c r="W182" i="42"/>
  <c r="V182" i="42"/>
  <c r="U182" i="42"/>
  <c r="T182" i="42"/>
  <c r="S182" i="42"/>
  <c r="R182" i="42"/>
  <c r="Q182" i="42"/>
  <c r="AV181" i="42"/>
  <c r="AU181" i="42"/>
  <c r="AT181" i="42"/>
  <c r="AS181" i="42"/>
  <c r="AR181" i="42"/>
  <c r="AQ181" i="42"/>
  <c r="AP181" i="42"/>
  <c r="AO181" i="42"/>
  <c r="AN181" i="42"/>
  <c r="AM181" i="42"/>
  <c r="AL181" i="42"/>
  <c r="AK181" i="42"/>
  <c r="AJ181" i="42"/>
  <c r="AI181" i="42"/>
  <c r="AH181" i="42"/>
  <c r="AG181" i="42"/>
  <c r="AF181" i="42"/>
  <c r="AE181" i="42"/>
  <c r="AD181" i="42"/>
  <c r="AC181" i="42"/>
  <c r="AB181" i="42"/>
  <c r="AA181" i="42"/>
  <c r="Z181" i="42"/>
  <c r="Y181" i="42"/>
  <c r="X181" i="42"/>
  <c r="W181" i="42"/>
  <c r="V181" i="42"/>
  <c r="U181" i="42"/>
  <c r="T181" i="42"/>
  <c r="S181" i="42"/>
  <c r="R181" i="42"/>
  <c r="Q181" i="42"/>
  <c r="AV180" i="42"/>
  <c r="AU180" i="42"/>
  <c r="AT180" i="42"/>
  <c r="AS180" i="42"/>
  <c r="AR180" i="42"/>
  <c r="AQ180" i="42"/>
  <c r="AP180" i="42"/>
  <c r="AO180" i="42"/>
  <c r="AN180" i="42"/>
  <c r="AM180" i="42"/>
  <c r="AL180" i="42"/>
  <c r="AK180" i="42"/>
  <c r="AJ180" i="42"/>
  <c r="AI180" i="42"/>
  <c r="AH180" i="42"/>
  <c r="AG180" i="42"/>
  <c r="AF180" i="42"/>
  <c r="AE180" i="42"/>
  <c r="AD180" i="42"/>
  <c r="AC180" i="42"/>
  <c r="AB180" i="42"/>
  <c r="AA180" i="42"/>
  <c r="Z180" i="42"/>
  <c r="Y180" i="42"/>
  <c r="X180" i="42"/>
  <c r="W180" i="42"/>
  <c r="V180" i="42"/>
  <c r="U180" i="42"/>
  <c r="T180" i="42"/>
  <c r="S180" i="42"/>
  <c r="R180" i="42"/>
  <c r="Q180" i="42"/>
  <c r="AV179" i="42"/>
  <c r="AU179" i="42"/>
  <c r="AT179" i="42"/>
  <c r="AS179" i="42"/>
  <c r="AR179" i="42"/>
  <c r="AQ179" i="42"/>
  <c r="AP179" i="42"/>
  <c r="AO179" i="42"/>
  <c r="AN179" i="42"/>
  <c r="AM179" i="42"/>
  <c r="AL179" i="42"/>
  <c r="AK179" i="42"/>
  <c r="AJ179" i="42"/>
  <c r="AI179" i="42"/>
  <c r="AH179" i="42"/>
  <c r="AG179" i="42"/>
  <c r="AF179" i="42"/>
  <c r="AE179" i="42"/>
  <c r="AD179" i="42"/>
  <c r="AC179" i="42"/>
  <c r="AB179" i="42"/>
  <c r="AA179" i="42"/>
  <c r="Z179" i="42"/>
  <c r="Y179" i="42"/>
  <c r="X179" i="42"/>
  <c r="W179" i="42"/>
  <c r="V179" i="42"/>
  <c r="U179" i="42"/>
  <c r="T179" i="42"/>
  <c r="S179" i="42"/>
  <c r="R179" i="42"/>
  <c r="Q179" i="42"/>
  <c r="AV178" i="42"/>
  <c r="AU178" i="42"/>
  <c r="AT178" i="42"/>
  <c r="AS178" i="42"/>
  <c r="AR178" i="42"/>
  <c r="AQ178" i="42"/>
  <c r="AP178" i="42"/>
  <c r="AO178" i="42"/>
  <c r="AN178" i="42"/>
  <c r="AM178" i="42"/>
  <c r="AL178" i="42"/>
  <c r="AK178" i="42"/>
  <c r="AJ178" i="42"/>
  <c r="AG178" i="42"/>
  <c r="AF178" i="42"/>
  <c r="AE178" i="42"/>
  <c r="AB178" i="42"/>
  <c r="AA178" i="42"/>
  <c r="Z178" i="42"/>
  <c r="Y178" i="42"/>
  <c r="X178" i="42"/>
  <c r="W178" i="42"/>
  <c r="V178" i="42"/>
  <c r="U178" i="42"/>
  <c r="T178" i="42"/>
  <c r="S178" i="42"/>
  <c r="R178" i="42"/>
  <c r="Q178" i="42"/>
  <c r="AV177" i="42"/>
  <c r="AU177" i="42"/>
  <c r="AT177" i="42"/>
  <c r="AS177" i="42"/>
  <c r="AR177" i="42"/>
  <c r="AQ177" i="42"/>
  <c r="AP177" i="42"/>
  <c r="AO177" i="42"/>
  <c r="AN177" i="42"/>
  <c r="AM177" i="42"/>
  <c r="AL177" i="42"/>
  <c r="AK177" i="42"/>
  <c r="AJ177" i="42"/>
  <c r="AI177" i="42"/>
  <c r="AH177" i="42"/>
  <c r="AG177" i="42"/>
  <c r="AF177" i="42"/>
  <c r="AE177" i="42"/>
  <c r="AD177" i="42"/>
  <c r="AC177" i="42"/>
  <c r="AB177" i="42"/>
  <c r="AA177" i="42"/>
  <c r="Z177" i="42"/>
  <c r="Y177" i="42"/>
  <c r="X177" i="42"/>
  <c r="W177" i="42"/>
  <c r="V177" i="42"/>
  <c r="U177" i="42"/>
  <c r="T177" i="42"/>
  <c r="S177" i="42"/>
  <c r="R177" i="42"/>
  <c r="Q177" i="42"/>
  <c r="AV176" i="42"/>
  <c r="AU176" i="42"/>
  <c r="AT176" i="42"/>
  <c r="AS176" i="42"/>
  <c r="AR176" i="42"/>
  <c r="AQ176" i="42"/>
  <c r="AP176" i="42"/>
  <c r="AO176" i="42"/>
  <c r="AN176" i="42"/>
  <c r="AM176" i="42"/>
  <c r="AL176" i="42"/>
  <c r="AG176" i="42"/>
  <c r="AB176" i="42"/>
  <c r="W176" i="42"/>
  <c r="V176" i="42"/>
  <c r="U176" i="42"/>
  <c r="T176" i="42"/>
  <c r="S176" i="42"/>
  <c r="R176" i="42"/>
  <c r="Q176" i="42"/>
  <c r="AV175" i="42"/>
  <c r="AU175" i="42"/>
  <c r="AT175" i="42"/>
  <c r="AS175" i="42"/>
  <c r="AR175" i="42"/>
  <c r="AQ175" i="42"/>
  <c r="AP175" i="42"/>
  <c r="AO175" i="42"/>
  <c r="AN175" i="42"/>
  <c r="AM175" i="42"/>
  <c r="AL175" i="42"/>
  <c r="AG175" i="42"/>
  <c r="AB175" i="42"/>
  <c r="W175" i="42"/>
  <c r="V175" i="42"/>
  <c r="U175" i="42"/>
  <c r="T175" i="42"/>
  <c r="S175" i="42"/>
  <c r="R175" i="42"/>
  <c r="Q175" i="42"/>
  <c r="AV173" i="42"/>
  <c r="AU173" i="42"/>
  <c r="AT173" i="42"/>
  <c r="AS173" i="42"/>
  <c r="AR173" i="42"/>
  <c r="AQ173" i="42"/>
  <c r="AP173" i="42"/>
  <c r="AO173" i="42"/>
  <c r="AN173" i="42"/>
  <c r="AM173" i="42"/>
  <c r="AL173" i="42"/>
  <c r="AK173" i="42"/>
  <c r="AJ173" i="42"/>
  <c r="AI173" i="42"/>
  <c r="AH173" i="42"/>
  <c r="AG173" i="42"/>
  <c r="AF173" i="42"/>
  <c r="AE173" i="42"/>
  <c r="AD173" i="42"/>
  <c r="AC173" i="42"/>
  <c r="AB173" i="42"/>
  <c r="AA173" i="42"/>
  <c r="Z173" i="42"/>
  <c r="Y173" i="42"/>
  <c r="X173" i="42"/>
  <c r="W173" i="42"/>
  <c r="V173" i="42"/>
  <c r="U173" i="42"/>
  <c r="T173" i="42"/>
  <c r="S173" i="42"/>
  <c r="R173" i="42"/>
  <c r="Q173" i="42"/>
  <c r="P173" i="42"/>
  <c r="O173" i="42"/>
  <c r="N173" i="42"/>
  <c r="M173" i="42"/>
  <c r="L173" i="42"/>
  <c r="K173" i="42"/>
  <c r="J173" i="42"/>
  <c r="I173" i="42"/>
  <c r="H173" i="42"/>
  <c r="G173" i="42"/>
  <c r="F173" i="42"/>
  <c r="E173" i="42"/>
  <c r="D173" i="42"/>
  <c r="AV172" i="42"/>
  <c r="AU172" i="42"/>
  <c r="AT172" i="42"/>
  <c r="AS172" i="42"/>
  <c r="AR172" i="42"/>
  <c r="AQ172" i="42"/>
  <c r="AP172" i="42"/>
  <c r="AO172" i="42"/>
  <c r="AN172" i="42"/>
  <c r="AM172" i="42"/>
  <c r="AL172" i="42"/>
  <c r="AK172" i="42"/>
  <c r="AJ172" i="42"/>
  <c r="AI172" i="42"/>
  <c r="AH172" i="42"/>
  <c r="AG172" i="42"/>
  <c r="AF172" i="42"/>
  <c r="AE172" i="42"/>
  <c r="AD172" i="42"/>
  <c r="AC172" i="42"/>
  <c r="AB172" i="42"/>
  <c r="AA172" i="42"/>
  <c r="Z172" i="42"/>
  <c r="Y172" i="42"/>
  <c r="X172" i="42"/>
  <c r="W172" i="42"/>
  <c r="V172" i="42"/>
  <c r="U172" i="42"/>
  <c r="T172" i="42"/>
  <c r="S172" i="42"/>
  <c r="R172" i="42"/>
  <c r="Q172" i="42"/>
  <c r="P172" i="42"/>
  <c r="O172" i="42"/>
  <c r="N172" i="42"/>
  <c r="M172" i="42"/>
  <c r="L172" i="42"/>
  <c r="K172" i="42"/>
  <c r="J172" i="42"/>
  <c r="I172" i="42"/>
  <c r="H172" i="42"/>
  <c r="G172" i="42"/>
  <c r="F172" i="42"/>
  <c r="E172" i="42"/>
  <c r="D172" i="42"/>
  <c r="AV171" i="42"/>
  <c r="AU171" i="42"/>
  <c r="AT171" i="42"/>
  <c r="AS171" i="42"/>
  <c r="AR171" i="42"/>
  <c r="AQ171" i="42"/>
  <c r="AP171" i="42"/>
  <c r="AO171" i="42"/>
  <c r="AN171" i="42"/>
  <c r="AM171" i="42"/>
  <c r="AL171" i="42"/>
  <c r="AK171" i="42"/>
  <c r="AJ171" i="42"/>
  <c r="AI171" i="42"/>
  <c r="AH171" i="42"/>
  <c r="AG171" i="42"/>
  <c r="AF171" i="42"/>
  <c r="AE171" i="42"/>
  <c r="AD171" i="42"/>
  <c r="AC171" i="42"/>
  <c r="AB171" i="42"/>
  <c r="AA171" i="42"/>
  <c r="Z171" i="42"/>
  <c r="Y171" i="42"/>
  <c r="X171" i="42"/>
  <c r="W171" i="42"/>
  <c r="V171" i="42"/>
  <c r="U171" i="42"/>
  <c r="T171" i="42"/>
  <c r="S171" i="42"/>
  <c r="R171" i="42"/>
  <c r="Q171" i="42"/>
  <c r="P171" i="42"/>
  <c r="O171" i="42"/>
  <c r="N171" i="42"/>
  <c r="M171" i="42"/>
  <c r="L171" i="42"/>
  <c r="K171" i="42"/>
  <c r="J171" i="42"/>
  <c r="I171" i="42"/>
  <c r="H171" i="42"/>
  <c r="G171" i="42"/>
  <c r="F171" i="42"/>
  <c r="E171" i="42"/>
  <c r="D171" i="42"/>
  <c r="AV170" i="42"/>
  <c r="AU170" i="42"/>
  <c r="AT170" i="42"/>
  <c r="AS170" i="42"/>
  <c r="AR170" i="42"/>
  <c r="AQ170" i="42"/>
  <c r="AP170" i="42"/>
  <c r="AO170" i="42"/>
  <c r="AN170" i="42"/>
  <c r="AM170" i="42"/>
  <c r="AL170" i="42"/>
  <c r="AK170" i="42"/>
  <c r="AJ170" i="42"/>
  <c r="AI170" i="42"/>
  <c r="AH170" i="42"/>
  <c r="AG170" i="42"/>
  <c r="AF170" i="42"/>
  <c r="AE170" i="42"/>
  <c r="AD170" i="42"/>
  <c r="AC170" i="42"/>
  <c r="AB170" i="42"/>
  <c r="AA170" i="42"/>
  <c r="Z170" i="42"/>
  <c r="Y170" i="42"/>
  <c r="X170" i="42"/>
  <c r="W170" i="42"/>
  <c r="V170" i="42"/>
  <c r="U170" i="42"/>
  <c r="T170" i="42"/>
  <c r="S170" i="42"/>
  <c r="R170" i="42"/>
  <c r="Q170" i="42"/>
  <c r="P170" i="42"/>
  <c r="O170" i="42"/>
  <c r="N170" i="42"/>
  <c r="M170" i="42"/>
  <c r="L170" i="42"/>
  <c r="K170" i="42"/>
  <c r="J170" i="42"/>
  <c r="I170" i="42"/>
  <c r="H170" i="42"/>
  <c r="G170" i="42"/>
  <c r="F170" i="42"/>
  <c r="E170" i="42"/>
  <c r="D170" i="42"/>
  <c r="AV169" i="42"/>
  <c r="AU169" i="42"/>
  <c r="AT169" i="42"/>
  <c r="AS169" i="42"/>
  <c r="AR169" i="42"/>
  <c r="AQ169" i="42"/>
  <c r="AP169" i="42"/>
  <c r="AO169" i="42"/>
  <c r="AN169" i="42"/>
  <c r="AM169" i="42"/>
  <c r="AL169" i="42"/>
  <c r="AK169" i="42"/>
  <c r="AJ169" i="42"/>
  <c r="AI169" i="42"/>
  <c r="AH169" i="42"/>
  <c r="AG169" i="42"/>
  <c r="AF169" i="42"/>
  <c r="AE169" i="42"/>
  <c r="AD169" i="42"/>
  <c r="AC169" i="42"/>
  <c r="AB169" i="42"/>
  <c r="AA169" i="42"/>
  <c r="Z169" i="42"/>
  <c r="Y169" i="42"/>
  <c r="X169" i="42"/>
  <c r="W169" i="42"/>
  <c r="V169" i="42"/>
  <c r="U169" i="42"/>
  <c r="T169" i="42"/>
  <c r="S169" i="42"/>
  <c r="R169" i="42"/>
  <c r="Q169" i="42"/>
  <c r="P169" i="42"/>
  <c r="O169" i="42"/>
  <c r="N169" i="42"/>
  <c r="M169" i="42"/>
  <c r="L169" i="42"/>
  <c r="K169" i="42"/>
  <c r="J169" i="42"/>
  <c r="I169" i="42"/>
  <c r="H169" i="42"/>
  <c r="G169" i="42"/>
  <c r="F169" i="42"/>
  <c r="E169" i="42"/>
  <c r="D169" i="42"/>
  <c r="AV168" i="42"/>
  <c r="AU168" i="42"/>
  <c r="AT168" i="42"/>
  <c r="AS168" i="42"/>
  <c r="AR168" i="42"/>
  <c r="AQ168" i="42"/>
  <c r="AP168" i="42"/>
  <c r="AO168" i="42"/>
  <c r="AN168" i="42"/>
  <c r="AM168" i="42"/>
  <c r="AL168" i="42"/>
  <c r="AK168" i="42"/>
  <c r="AJ168" i="42"/>
  <c r="AI168" i="42"/>
  <c r="AH168" i="42"/>
  <c r="AG168" i="42"/>
  <c r="AF168" i="42"/>
  <c r="AE168" i="42"/>
  <c r="AD168" i="42"/>
  <c r="AC168" i="42"/>
  <c r="AB168" i="42"/>
  <c r="AA168" i="42"/>
  <c r="Z168" i="42"/>
  <c r="Y168" i="42"/>
  <c r="X168" i="42"/>
  <c r="W168" i="42"/>
  <c r="V168" i="42"/>
  <c r="U168" i="42"/>
  <c r="T168" i="42"/>
  <c r="S168" i="42"/>
  <c r="R168" i="42"/>
  <c r="Q168" i="42"/>
  <c r="P168" i="42"/>
  <c r="O168" i="42"/>
  <c r="N168" i="42"/>
  <c r="M168" i="42"/>
  <c r="L168" i="42"/>
  <c r="K168" i="42"/>
  <c r="J168" i="42"/>
  <c r="I168" i="42"/>
  <c r="H168" i="42"/>
  <c r="G168" i="42"/>
  <c r="F168" i="42"/>
  <c r="E168" i="42"/>
  <c r="D168" i="42"/>
  <c r="AV167" i="42"/>
  <c r="AU167" i="42"/>
  <c r="AT167" i="42"/>
  <c r="AS167" i="42"/>
  <c r="AR167" i="42"/>
  <c r="AQ167" i="42"/>
  <c r="AP167" i="42"/>
  <c r="AO167" i="42"/>
  <c r="AN167" i="42"/>
  <c r="AM167" i="42"/>
  <c r="AL167" i="42"/>
  <c r="AK167" i="42"/>
  <c r="AJ167" i="42"/>
  <c r="AI167" i="42"/>
  <c r="AH167" i="42"/>
  <c r="AG167" i="42"/>
  <c r="AF167" i="42"/>
  <c r="AE167" i="42"/>
  <c r="AD167" i="42"/>
  <c r="AC167" i="42"/>
  <c r="AB167" i="42"/>
  <c r="AA167" i="42"/>
  <c r="Z167" i="42"/>
  <c r="Y167" i="42"/>
  <c r="X167" i="42"/>
  <c r="W167" i="42"/>
  <c r="V167" i="42"/>
  <c r="U167" i="42"/>
  <c r="T167" i="42"/>
  <c r="S167" i="42"/>
  <c r="R167" i="42"/>
  <c r="Q167" i="42"/>
  <c r="P167" i="42"/>
  <c r="O167" i="42"/>
  <c r="N167" i="42"/>
  <c r="M167" i="42"/>
  <c r="L167" i="42"/>
  <c r="K167" i="42"/>
  <c r="J167" i="42"/>
  <c r="I167" i="42"/>
  <c r="H167" i="42"/>
  <c r="G167" i="42"/>
  <c r="F167" i="42"/>
  <c r="E167" i="42"/>
  <c r="D167" i="42"/>
  <c r="AV166" i="42"/>
  <c r="AU166" i="42"/>
  <c r="AT166" i="42"/>
  <c r="AS166" i="42"/>
  <c r="AR166" i="42"/>
  <c r="AQ166" i="42"/>
  <c r="AP166" i="42"/>
  <c r="AO166" i="42"/>
  <c r="AN166" i="42"/>
  <c r="AM166" i="42"/>
  <c r="AL166" i="42"/>
  <c r="AK166" i="42"/>
  <c r="AJ166" i="42"/>
  <c r="AI166" i="42"/>
  <c r="AH166" i="42"/>
  <c r="AG166" i="42"/>
  <c r="AF166" i="42"/>
  <c r="AE166" i="42"/>
  <c r="AD166" i="42"/>
  <c r="AC166" i="42"/>
  <c r="AB166" i="42"/>
  <c r="AA166" i="42"/>
  <c r="Z166" i="42"/>
  <c r="Y166" i="42"/>
  <c r="X166" i="42"/>
  <c r="W166" i="42"/>
  <c r="V166" i="42"/>
  <c r="U166" i="42"/>
  <c r="T166" i="42"/>
  <c r="S166" i="42"/>
  <c r="R166" i="42"/>
  <c r="Q166" i="42"/>
  <c r="P166" i="42"/>
  <c r="O166" i="42"/>
  <c r="N166" i="42"/>
  <c r="M166" i="42"/>
  <c r="L166" i="42"/>
  <c r="K166" i="42"/>
  <c r="J166" i="42"/>
  <c r="I166" i="42"/>
  <c r="H166" i="42"/>
  <c r="G166" i="42"/>
  <c r="F166" i="42"/>
  <c r="E166" i="42"/>
  <c r="D166" i="42"/>
  <c r="AV165" i="42"/>
  <c r="AU165" i="42"/>
  <c r="AT165" i="42"/>
  <c r="AS165" i="42"/>
  <c r="AR165" i="42"/>
  <c r="AQ165" i="42"/>
  <c r="AP165" i="42"/>
  <c r="AO165" i="42"/>
  <c r="AN165" i="42"/>
  <c r="AM165" i="42"/>
  <c r="AL165" i="42"/>
  <c r="AK165" i="42"/>
  <c r="AJ165" i="42"/>
  <c r="AI165" i="42"/>
  <c r="AH165" i="42"/>
  <c r="AG165" i="42"/>
  <c r="AF165" i="42"/>
  <c r="AE165" i="42"/>
  <c r="AD165" i="42"/>
  <c r="AC165" i="42"/>
  <c r="AB165" i="42"/>
  <c r="AA165" i="42"/>
  <c r="Z165" i="42"/>
  <c r="Y165" i="42"/>
  <c r="X165" i="42"/>
  <c r="W165" i="42"/>
  <c r="V165" i="42"/>
  <c r="U165" i="42"/>
  <c r="T165" i="42"/>
  <c r="S165" i="42"/>
  <c r="R165" i="42"/>
  <c r="Q165" i="42"/>
  <c r="P165" i="42"/>
  <c r="O165" i="42"/>
  <c r="N165" i="42"/>
  <c r="M165" i="42"/>
  <c r="L165" i="42"/>
  <c r="K165" i="42"/>
  <c r="J165" i="42"/>
  <c r="I165" i="42"/>
  <c r="H165" i="42"/>
  <c r="G165" i="42"/>
  <c r="F165" i="42"/>
  <c r="E165" i="42"/>
  <c r="D165" i="42"/>
  <c r="AV164" i="42"/>
  <c r="AU164" i="42"/>
  <c r="AT164" i="42"/>
  <c r="AS164" i="42"/>
  <c r="AR164" i="42"/>
  <c r="AQ164" i="42"/>
  <c r="AP164" i="42"/>
  <c r="AO164" i="42"/>
  <c r="AN164" i="42"/>
  <c r="AM164" i="42"/>
  <c r="AL164" i="42"/>
  <c r="AK164" i="42"/>
  <c r="AJ164" i="42"/>
  <c r="AI164" i="42"/>
  <c r="AH164" i="42"/>
  <c r="AG164" i="42"/>
  <c r="AF164" i="42"/>
  <c r="AE164" i="42"/>
  <c r="AD164" i="42"/>
  <c r="AC164" i="42"/>
  <c r="AB164" i="42"/>
  <c r="AA164" i="42"/>
  <c r="Z164" i="42"/>
  <c r="Y164" i="42"/>
  <c r="X164" i="42"/>
  <c r="W164" i="42"/>
  <c r="V164" i="42"/>
  <c r="U164" i="42"/>
  <c r="T164" i="42"/>
  <c r="S164" i="42"/>
  <c r="R164" i="42"/>
  <c r="Q164" i="42"/>
  <c r="P164" i="42"/>
  <c r="O164" i="42"/>
  <c r="N164" i="42"/>
  <c r="M164" i="42"/>
  <c r="L164" i="42"/>
  <c r="K164" i="42"/>
  <c r="J164" i="42"/>
  <c r="I164" i="42"/>
  <c r="H164" i="42"/>
  <c r="G164" i="42"/>
  <c r="F164" i="42"/>
  <c r="E164" i="42"/>
  <c r="D164" i="42"/>
  <c r="AV163" i="42"/>
  <c r="AU163" i="42"/>
  <c r="AT163" i="42"/>
  <c r="AS163" i="42"/>
  <c r="AR163" i="42"/>
  <c r="AQ163" i="42"/>
  <c r="AP163" i="42"/>
  <c r="AO163" i="42"/>
  <c r="AN163" i="42"/>
  <c r="AM163" i="42"/>
  <c r="AL163" i="42"/>
  <c r="AK163" i="42"/>
  <c r="AJ163" i="42"/>
  <c r="AI163" i="42"/>
  <c r="AH163" i="42"/>
  <c r="AG163" i="42"/>
  <c r="AF163" i="42"/>
  <c r="AE163" i="42"/>
  <c r="AD163" i="42"/>
  <c r="AC163" i="42"/>
  <c r="AB163" i="42"/>
  <c r="AA163" i="42"/>
  <c r="Z163" i="42"/>
  <c r="Y163" i="42"/>
  <c r="X163" i="42"/>
  <c r="W163" i="42"/>
  <c r="V163" i="42"/>
  <c r="U163" i="42"/>
  <c r="T163" i="42"/>
  <c r="S163" i="42"/>
  <c r="R163" i="42"/>
  <c r="Q163" i="42"/>
  <c r="P163" i="42"/>
  <c r="O163" i="42"/>
  <c r="N163" i="42"/>
  <c r="M163" i="42"/>
  <c r="L163" i="42"/>
  <c r="K163" i="42"/>
  <c r="J163" i="42"/>
  <c r="I163" i="42"/>
  <c r="H163" i="42"/>
  <c r="G163" i="42"/>
  <c r="F163" i="42"/>
  <c r="E163" i="42"/>
  <c r="D163" i="42"/>
  <c r="AV161" i="42"/>
  <c r="AU161" i="42"/>
  <c r="AT161" i="42"/>
  <c r="AS161" i="42"/>
  <c r="AR161" i="42"/>
  <c r="AQ161" i="42"/>
  <c r="AP161" i="42"/>
  <c r="AO161" i="42"/>
  <c r="AN161" i="42"/>
  <c r="AM161" i="42"/>
  <c r="AL161" i="42"/>
  <c r="AK161" i="42"/>
  <c r="AJ161" i="42"/>
  <c r="AI161" i="42"/>
  <c r="AH161" i="42"/>
  <c r="AG161" i="42"/>
  <c r="AF161" i="42"/>
  <c r="AE161" i="42"/>
  <c r="AD161" i="42"/>
  <c r="AC161" i="42"/>
  <c r="AB161" i="42"/>
  <c r="AA161" i="42"/>
  <c r="Z161" i="42"/>
  <c r="Y161" i="42"/>
  <c r="X161" i="42"/>
  <c r="W161" i="42"/>
  <c r="V161" i="42"/>
  <c r="U161" i="42"/>
  <c r="T161" i="42"/>
  <c r="S161" i="42"/>
  <c r="R161" i="42"/>
  <c r="Q161" i="42"/>
  <c r="P161" i="42"/>
  <c r="O161" i="42"/>
  <c r="N161" i="42"/>
  <c r="M161" i="42"/>
  <c r="L161" i="42"/>
  <c r="K161" i="42"/>
  <c r="J161" i="42"/>
  <c r="I161" i="42"/>
  <c r="H161" i="42"/>
  <c r="G161" i="42"/>
  <c r="F161" i="42"/>
  <c r="E161" i="42"/>
  <c r="D161" i="42"/>
  <c r="AV160" i="42"/>
  <c r="AU160" i="42"/>
  <c r="AT160" i="42"/>
  <c r="AS160" i="42"/>
  <c r="AR160" i="42"/>
  <c r="AQ160" i="42"/>
  <c r="AP160" i="42"/>
  <c r="AO160" i="42"/>
  <c r="AN160" i="42"/>
  <c r="AM160" i="42"/>
  <c r="AL160" i="42"/>
  <c r="AK160" i="42"/>
  <c r="AJ160" i="42"/>
  <c r="AI160" i="42"/>
  <c r="AH160" i="42"/>
  <c r="AG160" i="42"/>
  <c r="AF160" i="42"/>
  <c r="AE160" i="42"/>
  <c r="AD160" i="42"/>
  <c r="AC160" i="42"/>
  <c r="AB160" i="42"/>
  <c r="AA160" i="42"/>
  <c r="Z160" i="42"/>
  <c r="Y160" i="42"/>
  <c r="X160" i="42"/>
  <c r="W160" i="42"/>
  <c r="V160" i="42"/>
  <c r="U160" i="42"/>
  <c r="T160" i="42"/>
  <c r="S160" i="42"/>
  <c r="R160" i="42"/>
  <c r="Q160" i="42"/>
  <c r="P160" i="42"/>
  <c r="O160" i="42"/>
  <c r="N160" i="42"/>
  <c r="M160" i="42"/>
  <c r="L160" i="42"/>
  <c r="K160" i="42"/>
  <c r="J160" i="42"/>
  <c r="I160" i="42"/>
  <c r="H160" i="42"/>
  <c r="G160" i="42"/>
  <c r="F160" i="42"/>
  <c r="E160" i="42"/>
  <c r="D160" i="42"/>
  <c r="AV159" i="42"/>
  <c r="AU159" i="42"/>
  <c r="AT159" i="42"/>
  <c r="AS159" i="42"/>
  <c r="AR159" i="42"/>
  <c r="AQ159" i="42"/>
  <c r="AP159" i="42"/>
  <c r="AO159" i="42"/>
  <c r="AN159" i="42"/>
  <c r="AM159" i="42"/>
  <c r="AL159" i="42"/>
  <c r="AK159" i="42"/>
  <c r="AJ159" i="42"/>
  <c r="AI159" i="42"/>
  <c r="AH159" i="42"/>
  <c r="AG159" i="42"/>
  <c r="AF159" i="42"/>
  <c r="AE159" i="42"/>
  <c r="AD159" i="42"/>
  <c r="AC159" i="42"/>
  <c r="AB159" i="42"/>
  <c r="AA159" i="42"/>
  <c r="Z159" i="42"/>
  <c r="Y159" i="42"/>
  <c r="X159" i="42"/>
  <c r="W159" i="42"/>
  <c r="V159" i="42"/>
  <c r="U159" i="42"/>
  <c r="T159" i="42"/>
  <c r="S159" i="42"/>
  <c r="R159" i="42"/>
  <c r="Q159" i="42"/>
  <c r="P159" i="42"/>
  <c r="O159" i="42"/>
  <c r="N159" i="42"/>
  <c r="M159" i="42"/>
  <c r="L159" i="42"/>
  <c r="K159" i="42"/>
  <c r="J159" i="42"/>
  <c r="I159" i="42"/>
  <c r="H159" i="42"/>
  <c r="G159" i="42"/>
  <c r="F159" i="42"/>
  <c r="E159" i="42"/>
  <c r="D159" i="42"/>
  <c r="AV158" i="42"/>
  <c r="AU158" i="42"/>
  <c r="AT158" i="42"/>
  <c r="AS158" i="42"/>
  <c r="AR158" i="42"/>
  <c r="AQ158" i="42"/>
  <c r="AP158" i="42"/>
  <c r="AO158" i="42"/>
  <c r="AN158" i="42"/>
  <c r="AM158" i="42"/>
  <c r="AL158" i="42"/>
  <c r="AK158" i="42"/>
  <c r="AJ158" i="42"/>
  <c r="AI158" i="42"/>
  <c r="AH158" i="42"/>
  <c r="AG158" i="42"/>
  <c r="AF158" i="42"/>
  <c r="AE158" i="42"/>
  <c r="AD158" i="42"/>
  <c r="AC158" i="42"/>
  <c r="AB158" i="42"/>
  <c r="AA158" i="42"/>
  <c r="Z158" i="42"/>
  <c r="Y158" i="42"/>
  <c r="X158" i="42"/>
  <c r="W158" i="42"/>
  <c r="V158" i="42"/>
  <c r="U158" i="42"/>
  <c r="T158" i="42"/>
  <c r="S158" i="42"/>
  <c r="R158" i="42"/>
  <c r="Q158" i="42"/>
  <c r="P158" i="42"/>
  <c r="O158" i="42"/>
  <c r="N158" i="42"/>
  <c r="M158" i="42"/>
  <c r="L158" i="42"/>
  <c r="K158" i="42"/>
  <c r="J158" i="42"/>
  <c r="I158" i="42"/>
  <c r="H158" i="42"/>
  <c r="G158" i="42"/>
  <c r="F158" i="42"/>
  <c r="E158" i="42"/>
  <c r="D158" i="42"/>
  <c r="AV157" i="42"/>
  <c r="AU157" i="42"/>
  <c r="AT157" i="42"/>
  <c r="AS157" i="42"/>
  <c r="AR157" i="42"/>
  <c r="AQ157" i="42"/>
  <c r="AP157" i="42"/>
  <c r="AO157" i="42"/>
  <c r="AN157" i="42"/>
  <c r="AM157" i="42"/>
  <c r="AL157" i="42"/>
  <c r="AK157" i="42"/>
  <c r="AJ157" i="42"/>
  <c r="AI157" i="42"/>
  <c r="AH157" i="42"/>
  <c r="AG157" i="42"/>
  <c r="AF157" i="42"/>
  <c r="AE157" i="42"/>
  <c r="AD157" i="42"/>
  <c r="AC157" i="42"/>
  <c r="AB157" i="42"/>
  <c r="AA157" i="42"/>
  <c r="Z157" i="42"/>
  <c r="Y157" i="42"/>
  <c r="X157" i="42"/>
  <c r="W157" i="42"/>
  <c r="V157" i="42"/>
  <c r="U157" i="42"/>
  <c r="T157" i="42"/>
  <c r="S157" i="42"/>
  <c r="R157" i="42"/>
  <c r="Q157" i="42"/>
  <c r="P157" i="42"/>
  <c r="O157" i="42"/>
  <c r="N157" i="42"/>
  <c r="M157" i="42"/>
  <c r="L157" i="42"/>
  <c r="K157" i="42"/>
  <c r="J157" i="42"/>
  <c r="I157" i="42"/>
  <c r="H157" i="42"/>
  <c r="G157" i="42"/>
  <c r="F157" i="42"/>
  <c r="E157" i="42"/>
  <c r="D157" i="42"/>
  <c r="AV156" i="42"/>
  <c r="AU156" i="42"/>
  <c r="AT156" i="42"/>
  <c r="AS156" i="42"/>
  <c r="AR156" i="42"/>
  <c r="AQ156" i="42"/>
  <c r="AP156" i="42"/>
  <c r="AO156" i="42"/>
  <c r="AN156" i="42"/>
  <c r="AM156" i="42"/>
  <c r="AL156" i="42"/>
  <c r="AK156" i="42"/>
  <c r="AJ156" i="42"/>
  <c r="AI156" i="42"/>
  <c r="AH156" i="42"/>
  <c r="AG156" i="42"/>
  <c r="AF156" i="42"/>
  <c r="AE156" i="42"/>
  <c r="AD156" i="42"/>
  <c r="AC156" i="42"/>
  <c r="AB156" i="42"/>
  <c r="AA156" i="42"/>
  <c r="Z156" i="42"/>
  <c r="Y156" i="42"/>
  <c r="X156" i="42"/>
  <c r="W156" i="42"/>
  <c r="V156" i="42"/>
  <c r="U156" i="42"/>
  <c r="T156" i="42"/>
  <c r="S156" i="42"/>
  <c r="R156" i="42"/>
  <c r="Q156" i="42"/>
  <c r="P156" i="42"/>
  <c r="O156" i="42"/>
  <c r="N156" i="42"/>
  <c r="M156" i="42"/>
  <c r="L156" i="42"/>
  <c r="K156" i="42"/>
  <c r="J156" i="42"/>
  <c r="I156" i="42"/>
  <c r="H156" i="42"/>
  <c r="G156" i="42"/>
  <c r="F156" i="42"/>
  <c r="E156" i="42"/>
  <c r="D156" i="42"/>
  <c r="AB155" i="42"/>
  <c r="AA155" i="42"/>
  <c r="Z155" i="42"/>
  <c r="Y155" i="42"/>
  <c r="X155" i="42"/>
  <c r="W155" i="42"/>
  <c r="V155" i="42"/>
  <c r="U155" i="42"/>
  <c r="T155" i="42"/>
  <c r="S155" i="42"/>
  <c r="R155" i="42"/>
  <c r="Q155" i="42"/>
  <c r="P155" i="42"/>
  <c r="O155" i="42"/>
  <c r="N155" i="42"/>
  <c r="M155" i="42"/>
  <c r="L155" i="42"/>
  <c r="K155" i="42"/>
  <c r="J155" i="42"/>
  <c r="I155" i="42"/>
  <c r="H155" i="42"/>
  <c r="G155" i="42"/>
  <c r="F155" i="42"/>
  <c r="E155" i="42"/>
  <c r="D155" i="42"/>
  <c r="AV154" i="42"/>
  <c r="AU154" i="42"/>
  <c r="AT154" i="42"/>
  <c r="AS154" i="42"/>
  <c r="AR154" i="42"/>
  <c r="AQ154" i="42"/>
  <c r="AP154" i="42"/>
  <c r="AO154" i="42"/>
  <c r="AN154" i="42"/>
  <c r="AM154" i="42"/>
  <c r="AJ154" i="42"/>
  <c r="AI154" i="42"/>
  <c r="AH154" i="42"/>
  <c r="AF154" i="42"/>
  <c r="AE154" i="42"/>
  <c r="AD154" i="42"/>
  <c r="AC154" i="42"/>
  <c r="AB154" i="42"/>
  <c r="AA154" i="42"/>
  <c r="Z154" i="42"/>
  <c r="Y154" i="42"/>
  <c r="X154" i="42"/>
  <c r="W154" i="42"/>
  <c r="V154" i="42"/>
  <c r="U154" i="42"/>
  <c r="T154" i="42"/>
  <c r="S154" i="42"/>
  <c r="R154" i="42"/>
  <c r="Q154" i="42"/>
  <c r="P154" i="42"/>
  <c r="O154" i="42"/>
  <c r="N154" i="42"/>
  <c r="M154" i="42"/>
  <c r="L154" i="42"/>
  <c r="K154" i="42"/>
  <c r="J154" i="42"/>
  <c r="I154" i="42"/>
  <c r="H154" i="42"/>
  <c r="G154" i="42"/>
  <c r="F154" i="42"/>
  <c r="E154" i="42"/>
  <c r="D154" i="42"/>
  <c r="AV153" i="42"/>
  <c r="AQ153" i="42"/>
  <c r="AL153" i="42"/>
  <c r="AG153" i="42"/>
  <c r="AB153" i="42"/>
  <c r="AA153" i="42"/>
  <c r="Z153" i="42"/>
  <c r="Y153" i="42"/>
  <c r="X153" i="42"/>
  <c r="W153" i="42"/>
  <c r="V153" i="42"/>
  <c r="U153" i="42"/>
  <c r="T153" i="42"/>
  <c r="S153" i="42"/>
  <c r="R153" i="42"/>
  <c r="Q153" i="42"/>
  <c r="P153" i="42"/>
  <c r="O153" i="42"/>
  <c r="N153" i="42"/>
  <c r="M153" i="42"/>
  <c r="L153" i="42"/>
  <c r="K153" i="42"/>
  <c r="J153" i="42"/>
  <c r="I153" i="42"/>
  <c r="H153" i="42"/>
  <c r="G153" i="42"/>
  <c r="F153" i="42"/>
  <c r="E153" i="42"/>
  <c r="D153" i="42"/>
  <c r="AV152" i="42"/>
  <c r="AU152" i="42"/>
  <c r="AT152" i="42"/>
  <c r="AS152" i="42"/>
  <c r="AR152" i="42"/>
  <c r="AQ152" i="42"/>
  <c r="AP152" i="42"/>
  <c r="AO152" i="42"/>
  <c r="AN152" i="42"/>
  <c r="AM152" i="42"/>
  <c r="AL152" i="42"/>
  <c r="AK152" i="42"/>
  <c r="AJ152" i="42"/>
  <c r="AI152" i="42"/>
  <c r="AH152" i="42"/>
  <c r="AG152" i="42"/>
  <c r="AF152" i="42"/>
  <c r="AE152" i="42"/>
  <c r="AD152" i="42"/>
  <c r="AC152" i="42"/>
  <c r="AB152" i="42"/>
  <c r="AA152" i="42"/>
  <c r="Z152" i="42"/>
  <c r="Y152" i="42"/>
  <c r="X152" i="42"/>
  <c r="W152" i="42"/>
  <c r="V152" i="42"/>
  <c r="U152" i="42"/>
  <c r="T152" i="42"/>
  <c r="S152" i="42"/>
  <c r="R152" i="42"/>
  <c r="Q152" i="42"/>
  <c r="P152" i="42"/>
  <c r="O152" i="42"/>
  <c r="N152" i="42"/>
  <c r="M152" i="42"/>
  <c r="L152" i="42"/>
  <c r="K152" i="42"/>
  <c r="J152" i="42"/>
  <c r="I152" i="42"/>
  <c r="H152" i="42"/>
  <c r="G152" i="42"/>
  <c r="F152" i="42"/>
  <c r="E152" i="42"/>
  <c r="D152" i="42"/>
  <c r="AV151" i="42"/>
  <c r="AU151" i="42"/>
  <c r="AT151" i="42"/>
  <c r="AS151" i="42"/>
  <c r="AR151" i="42"/>
  <c r="AQ151" i="42"/>
  <c r="AP151" i="42"/>
  <c r="AO151" i="42"/>
  <c r="AN151" i="42"/>
  <c r="AM151" i="42"/>
  <c r="AL151" i="42"/>
  <c r="AK151" i="42"/>
  <c r="AJ151" i="42"/>
  <c r="AI151" i="42"/>
  <c r="AH151" i="42"/>
  <c r="AG151" i="42"/>
  <c r="AF151" i="42"/>
  <c r="AE151" i="42"/>
  <c r="AD151" i="42"/>
  <c r="AC151" i="42"/>
  <c r="AB151" i="42"/>
  <c r="AA151" i="42"/>
  <c r="Z151" i="42"/>
  <c r="Y151" i="42"/>
  <c r="X151" i="42"/>
  <c r="W151" i="42"/>
  <c r="V151" i="42"/>
  <c r="U151" i="42"/>
  <c r="T151" i="42"/>
  <c r="S151" i="42"/>
  <c r="R151" i="42"/>
  <c r="Q151" i="42"/>
  <c r="P151" i="42"/>
  <c r="O151" i="42"/>
  <c r="N151" i="42"/>
  <c r="M151" i="42"/>
  <c r="L151" i="42"/>
  <c r="K151" i="42"/>
  <c r="J151" i="42"/>
  <c r="I151" i="42"/>
  <c r="H151" i="42"/>
  <c r="G151" i="42"/>
  <c r="F151" i="42"/>
  <c r="E151" i="42"/>
  <c r="D151" i="42"/>
  <c r="AV149" i="42"/>
  <c r="AU149" i="42"/>
  <c r="AT149" i="42"/>
  <c r="AS149" i="42"/>
  <c r="AR149" i="42"/>
  <c r="AQ149" i="42"/>
  <c r="AP149" i="42"/>
  <c r="AO149" i="42"/>
  <c r="AN149" i="42"/>
  <c r="AM149" i="42"/>
  <c r="AK149" i="42"/>
  <c r="AJ149" i="42"/>
  <c r="AI149" i="42"/>
  <c r="AH149" i="42"/>
  <c r="AG149" i="42"/>
  <c r="AF149" i="42"/>
  <c r="AE149" i="42"/>
  <c r="AD149" i="42"/>
  <c r="AC149" i="42"/>
  <c r="AB149" i="42"/>
  <c r="AA149" i="42"/>
  <c r="Z149" i="42"/>
  <c r="Y149" i="42"/>
  <c r="X149" i="42"/>
  <c r="W149" i="42"/>
  <c r="V149" i="42"/>
  <c r="U149" i="42"/>
  <c r="T149" i="42"/>
  <c r="S149" i="42"/>
  <c r="R149" i="42"/>
  <c r="Q149" i="42"/>
  <c r="P149" i="42"/>
  <c r="O149" i="42"/>
  <c r="N149" i="42"/>
  <c r="M149" i="42"/>
  <c r="L149" i="42"/>
  <c r="K149" i="42"/>
  <c r="J149" i="42"/>
  <c r="I149" i="42"/>
  <c r="H149" i="42"/>
  <c r="G149" i="42"/>
  <c r="F149" i="42"/>
  <c r="E149" i="42"/>
  <c r="D149" i="42"/>
  <c r="U148" i="42"/>
  <c r="T148" i="42"/>
  <c r="S148" i="42"/>
  <c r="R148" i="42"/>
  <c r="P148" i="42"/>
  <c r="O148" i="42"/>
  <c r="N148" i="42"/>
  <c r="M148" i="42"/>
  <c r="L148" i="42"/>
  <c r="K148" i="42"/>
  <c r="J148" i="42"/>
  <c r="I148" i="42"/>
  <c r="H148" i="42"/>
  <c r="G148" i="42"/>
  <c r="F148" i="42"/>
  <c r="E148" i="42"/>
  <c r="D148" i="42"/>
  <c r="U147" i="42"/>
  <c r="T147" i="42"/>
  <c r="S147" i="42"/>
  <c r="R147" i="42"/>
  <c r="Q147" i="42"/>
  <c r="P147" i="42"/>
  <c r="O147" i="42"/>
  <c r="N147" i="42"/>
  <c r="M147" i="42"/>
  <c r="L147" i="42"/>
  <c r="K147" i="42"/>
  <c r="J147" i="42"/>
  <c r="I147" i="42"/>
  <c r="H147" i="42"/>
  <c r="G147" i="42"/>
  <c r="F147" i="42"/>
  <c r="E147" i="42"/>
  <c r="D147" i="42"/>
  <c r="U146" i="42"/>
  <c r="T146" i="42"/>
  <c r="S146" i="42"/>
  <c r="R146" i="42"/>
  <c r="Q146" i="42"/>
  <c r="P146" i="42"/>
  <c r="O146" i="42"/>
  <c r="N146" i="42"/>
  <c r="M146" i="42"/>
  <c r="L146" i="42"/>
  <c r="K146" i="42"/>
  <c r="J146" i="42"/>
  <c r="I146" i="42"/>
  <c r="H146" i="42"/>
  <c r="G146" i="42"/>
  <c r="F146" i="42"/>
  <c r="E146" i="42"/>
  <c r="D146" i="42"/>
  <c r="AV145" i="42"/>
  <c r="AQ145" i="42"/>
  <c r="AL145" i="42"/>
  <c r="AK145" i="42"/>
  <c r="AG145" i="42"/>
  <c r="AB145" i="42"/>
  <c r="W145" i="42"/>
  <c r="U145" i="42"/>
  <c r="T145" i="42"/>
  <c r="S145" i="42"/>
  <c r="R145" i="42"/>
  <c r="Q145" i="42"/>
  <c r="P145" i="42"/>
  <c r="O145" i="42"/>
  <c r="N145" i="42"/>
  <c r="M145" i="42"/>
  <c r="L145" i="42"/>
  <c r="K145" i="42"/>
  <c r="J145" i="42"/>
  <c r="I145" i="42"/>
  <c r="H145" i="42"/>
  <c r="G145" i="42"/>
  <c r="F145" i="42"/>
  <c r="E145" i="42"/>
  <c r="D145" i="42"/>
  <c r="AV144" i="42"/>
  <c r="AQ144" i="42"/>
  <c r="AL144" i="42"/>
  <c r="AG144" i="42"/>
  <c r="AB144" i="42"/>
  <c r="W144" i="42"/>
  <c r="U144" i="42"/>
  <c r="S144" i="42"/>
  <c r="R144" i="42"/>
  <c r="Q144" i="42"/>
  <c r="P144" i="42"/>
  <c r="O144" i="42"/>
  <c r="N144" i="42"/>
  <c r="M144" i="42"/>
  <c r="L144" i="42"/>
  <c r="K144" i="42"/>
  <c r="J144" i="42"/>
  <c r="I144" i="42"/>
  <c r="H144" i="42"/>
  <c r="G144" i="42"/>
  <c r="F144" i="42"/>
  <c r="E144" i="42"/>
  <c r="D144" i="42"/>
  <c r="AU143" i="42"/>
  <c r="AT143" i="42"/>
  <c r="AS143" i="42"/>
  <c r="AR143" i="42"/>
  <c r="AP143" i="42"/>
  <c r="AO143" i="42"/>
  <c r="AN143" i="42"/>
  <c r="AM143" i="42"/>
  <c r="AK143" i="42"/>
  <c r="AJ143" i="42"/>
  <c r="AI143" i="42"/>
  <c r="AH143" i="42"/>
  <c r="AF143" i="42"/>
  <c r="AE143" i="42"/>
  <c r="AD143" i="42"/>
  <c r="AC143" i="42"/>
  <c r="AA143" i="42"/>
  <c r="Z143" i="42"/>
  <c r="Y143" i="42"/>
  <c r="X143" i="42"/>
  <c r="V143" i="42"/>
  <c r="U143" i="42"/>
  <c r="T143" i="42"/>
  <c r="S143" i="42"/>
  <c r="R143" i="42"/>
  <c r="Q143" i="42"/>
  <c r="P143" i="42"/>
  <c r="O143" i="42"/>
  <c r="N143" i="42"/>
  <c r="M143" i="42"/>
  <c r="L143" i="42"/>
  <c r="K143" i="42"/>
  <c r="J143" i="42"/>
  <c r="I143" i="42"/>
  <c r="H143" i="42"/>
  <c r="G143" i="42"/>
  <c r="F143" i="42"/>
  <c r="E143" i="42"/>
  <c r="D143" i="42"/>
  <c r="U142" i="42"/>
  <c r="T142" i="42"/>
  <c r="S142" i="42"/>
  <c r="R142" i="42"/>
  <c r="Q142" i="42"/>
  <c r="P142" i="42"/>
  <c r="O142" i="42"/>
  <c r="N142" i="42"/>
  <c r="M142" i="42"/>
  <c r="L142" i="42"/>
  <c r="K142" i="42"/>
  <c r="J142" i="42"/>
  <c r="I142" i="42"/>
  <c r="H142" i="42"/>
  <c r="G142" i="42"/>
  <c r="F142" i="42"/>
  <c r="E142" i="42"/>
  <c r="D142" i="42"/>
  <c r="U141" i="42"/>
  <c r="T141" i="42"/>
  <c r="S141" i="42"/>
  <c r="R141" i="42"/>
  <c r="Q141" i="42"/>
  <c r="P141" i="42"/>
  <c r="O141" i="42"/>
  <c r="N141" i="42"/>
  <c r="M141" i="42"/>
  <c r="L141" i="42"/>
  <c r="K141" i="42"/>
  <c r="J141" i="42"/>
  <c r="I141" i="42"/>
  <c r="H141" i="42"/>
  <c r="G141" i="42"/>
  <c r="F141" i="42"/>
  <c r="E141" i="42"/>
  <c r="D141" i="42"/>
  <c r="W140" i="42"/>
  <c r="V140" i="42"/>
  <c r="U140" i="42"/>
  <c r="T140" i="42"/>
  <c r="S140" i="42"/>
  <c r="R140" i="42"/>
  <c r="Q140" i="42"/>
  <c r="P140" i="42"/>
  <c r="O140" i="42"/>
  <c r="N140" i="42"/>
  <c r="M140" i="42"/>
  <c r="L140" i="42"/>
  <c r="K140" i="42"/>
  <c r="J140" i="42"/>
  <c r="I140" i="42"/>
  <c r="H140" i="42"/>
  <c r="G140" i="42"/>
  <c r="F140" i="42"/>
  <c r="E140" i="42"/>
  <c r="D140" i="42"/>
  <c r="AV139" i="42"/>
  <c r="AU139" i="42"/>
  <c r="AT139" i="42"/>
  <c r="AS139" i="42"/>
  <c r="AR139" i="42"/>
  <c r="AQ139" i="42"/>
  <c r="AP139" i="42"/>
  <c r="AO139" i="42"/>
  <c r="AN139" i="42"/>
  <c r="AM139" i="42"/>
  <c r="AL139" i="42"/>
  <c r="AK139" i="42"/>
  <c r="AJ139" i="42"/>
  <c r="AI139" i="42"/>
  <c r="AH139" i="42"/>
  <c r="AG139" i="42"/>
  <c r="AF139" i="42"/>
  <c r="AE139" i="42"/>
  <c r="AD139" i="42"/>
  <c r="AC139" i="42"/>
  <c r="AB139" i="42"/>
  <c r="AA139" i="42"/>
  <c r="Z139" i="42"/>
  <c r="Y139" i="42"/>
  <c r="X139" i="42"/>
  <c r="W139" i="42"/>
  <c r="V139" i="42"/>
  <c r="U139" i="42"/>
  <c r="T139" i="42"/>
  <c r="S139" i="42"/>
  <c r="R139" i="42"/>
  <c r="Q139" i="42"/>
  <c r="P139" i="42"/>
  <c r="O139" i="42"/>
  <c r="N139" i="42"/>
  <c r="M139" i="42"/>
  <c r="L139" i="42"/>
  <c r="K139" i="42"/>
  <c r="J139" i="42"/>
  <c r="I139" i="42"/>
  <c r="H139" i="42"/>
  <c r="G139" i="42"/>
  <c r="F139" i="42"/>
  <c r="E139" i="42"/>
  <c r="D139" i="42"/>
  <c r="AV137" i="42"/>
  <c r="AQ137" i="42"/>
  <c r="AL137" i="42"/>
  <c r="AG137" i="42"/>
  <c r="AB137" i="42"/>
  <c r="W137" i="42"/>
  <c r="S137" i="42"/>
  <c r="R137" i="42"/>
  <c r="Q137" i="42"/>
  <c r="P137" i="42"/>
  <c r="O137" i="42"/>
  <c r="N137" i="42"/>
  <c r="M137" i="42"/>
  <c r="L137" i="42"/>
  <c r="K137" i="42"/>
  <c r="J137" i="42"/>
  <c r="I137" i="42"/>
  <c r="H137" i="42"/>
  <c r="G137" i="42"/>
  <c r="F137" i="42"/>
  <c r="E137" i="42"/>
  <c r="D137" i="42"/>
  <c r="AV136" i="42"/>
  <c r="AU136" i="42"/>
  <c r="AT136" i="42"/>
  <c r="AS136" i="42"/>
  <c r="AR136" i="42"/>
  <c r="AQ136" i="42"/>
  <c r="AP136" i="42"/>
  <c r="AO136" i="42"/>
  <c r="AN136" i="42"/>
  <c r="AM136" i="42"/>
  <c r="AL136" i="42"/>
  <c r="AK136" i="42"/>
  <c r="AJ136" i="42"/>
  <c r="AI136" i="42"/>
  <c r="AH136" i="42"/>
  <c r="AG136" i="42"/>
  <c r="AF136" i="42"/>
  <c r="AE136" i="42"/>
  <c r="AD136" i="42"/>
  <c r="AC136" i="42"/>
  <c r="AB136" i="42"/>
  <c r="AA136" i="42"/>
  <c r="Z136" i="42"/>
  <c r="Y136" i="42"/>
  <c r="X136" i="42"/>
  <c r="W136" i="42"/>
  <c r="V136" i="42"/>
  <c r="U136" i="42"/>
  <c r="T136" i="42"/>
  <c r="S136" i="42"/>
  <c r="R136" i="42"/>
  <c r="Q136" i="42"/>
  <c r="P136" i="42"/>
  <c r="O136" i="42"/>
  <c r="N136" i="42"/>
  <c r="M136" i="42"/>
  <c r="L136" i="42"/>
  <c r="K136" i="42"/>
  <c r="J136" i="42"/>
  <c r="I136" i="42"/>
  <c r="H136" i="42"/>
  <c r="G136" i="42"/>
  <c r="F136" i="42"/>
  <c r="E136" i="42"/>
  <c r="D136" i="42"/>
  <c r="AV135" i="42"/>
  <c r="AU135" i="42"/>
  <c r="AT135" i="42"/>
  <c r="AS135" i="42"/>
  <c r="AR135" i="42"/>
  <c r="AQ135" i="42"/>
  <c r="AP135" i="42"/>
  <c r="AO135" i="42"/>
  <c r="AN135" i="42"/>
  <c r="AM135" i="42"/>
  <c r="AL135" i="42"/>
  <c r="AK135" i="42"/>
  <c r="AJ135" i="42"/>
  <c r="AI135" i="42"/>
  <c r="AH135" i="42"/>
  <c r="AG135" i="42"/>
  <c r="AF135" i="42"/>
  <c r="AE135" i="42"/>
  <c r="AD135" i="42"/>
  <c r="AC135" i="42"/>
  <c r="AB135" i="42"/>
  <c r="AA135" i="42"/>
  <c r="Z135" i="42"/>
  <c r="Y135" i="42"/>
  <c r="X135" i="42"/>
  <c r="W135" i="42"/>
  <c r="V135" i="42"/>
  <c r="U135" i="42"/>
  <c r="T135" i="42"/>
  <c r="S135" i="42"/>
  <c r="R135" i="42"/>
  <c r="Q135" i="42"/>
  <c r="P135" i="42"/>
  <c r="O135" i="42"/>
  <c r="N135" i="42"/>
  <c r="M135" i="42"/>
  <c r="L135" i="42"/>
  <c r="K135" i="42"/>
  <c r="J135" i="42"/>
  <c r="I135" i="42"/>
  <c r="H135" i="42"/>
  <c r="G135" i="42"/>
  <c r="F135" i="42"/>
  <c r="E135" i="42"/>
  <c r="D135" i="42"/>
  <c r="AV134" i="42"/>
  <c r="AQ134" i="42"/>
  <c r="AL134" i="42"/>
  <c r="AG134" i="42"/>
  <c r="AB134" i="42"/>
  <c r="W134" i="42"/>
  <c r="V134" i="42"/>
  <c r="U134" i="42"/>
  <c r="T134" i="42"/>
  <c r="S134" i="42"/>
  <c r="R134" i="42"/>
  <c r="Q134" i="42"/>
  <c r="P134" i="42"/>
  <c r="O134" i="42"/>
  <c r="N134" i="42"/>
  <c r="M134" i="42"/>
  <c r="L134" i="42"/>
  <c r="K134" i="42"/>
  <c r="J134" i="42"/>
  <c r="I134" i="42"/>
  <c r="H134" i="42"/>
  <c r="G134" i="42"/>
  <c r="F134" i="42"/>
  <c r="E134" i="42"/>
  <c r="D134" i="42"/>
  <c r="AV133" i="42"/>
  <c r="AQ133" i="42"/>
  <c r="AL133" i="42"/>
  <c r="AG133" i="42"/>
  <c r="AB133" i="42"/>
  <c r="W133" i="42"/>
  <c r="V133" i="42"/>
  <c r="U133" i="42"/>
  <c r="T133" i="42"/>
  <c r="S133" i="42"/>
  <c r="R133" i="42"/>
  <c r="Q133" i="42"/>
  <c r="P133" i="42"/>
  <c r="O133" i="42"/>
  <c r="N133" i="42"/>
  <c r="M133" i="42"/>
  <c r="L133" i="42"/>
  <c r="K133" i="42"/>
  <c r="J133" i="42"/>
  <c r="I133" i="42"/>
  <c r="H133" i="42"/>
  <c r="G133" i="42"/>
  <c r="F133" i="42"/>
  <c r="E133" i="42"/>
  <c r="D133" i="42"/>
  <c r="U131" i="42"/>
  <c r="T131" i="42"/>
  <c r="S131" i="42"/>
  <c r="R131" i="42"/>
  <c r="Q131" i="42"/>
  <c r="P131" i="42"/>
  <c r="O131" i="42"/>
  <c r="N131" i="42"/>
  <c r="M131" i="42"/>
  <c r="L131" i="42"/>
  <c r="K131" i="42"/>
  <c r="J131" i="42"/>
  <c r="I131" i="42"/>
  <c r="H131" i="42"/>
  <c r="G131" i="42"/>
  <c r="F131" i="42"/>
  <c r="E131" i="42"/>
  <c r="D131" i="42"/>
  <c r="U130" i="42"/>
  <c r="T130" i="42"/>
  <c r="S130" i="42"/>
  <c r="R130" i="42"/>
  <c r="Q130" i="42"/>
  <c r="P130" i="42"/>
  <c r="O130" i="42"/>
  <c r="N130" i="42"/>
  <c r="M130" i="42"/>
  <c r="L130" i="42"/>
  <c r="K130" i="42"/>
  <c r="J130" i="42"/>
  <c r="I130" i="42"/>
  <c r="H130" i="42"/>
  <c r="G130" i="42"/>
  <c r="F130" i="42"/>
  <c r="E130" i="42"/>
  <c r="D130" i="42"/>
  <c r="AV129" i="42"/>
  <c r="AU129" i="42"/>
  <c r="AT129" i="42"/>
  <c r="AS129" i="42"/>
  <c r="AR129" i="42"/>
  <c r="AQ129" i="42"/>
  <c r="AP129" i="42"/>
  <c r="AO129" i="42"/>
  <c r="AN129" i="42"/>
  <c r="AM129" i="42"/>
  <c r="AL129" i="42"/>
  <c r="AK129" i="42"/>
  <c r="AJ129" i="42"/>
  <c r="AI129" i="42"/>
  <c r="AH129" i="42"/>
  <c r="AG129" i="42"/>
  <c r="AF129" i="42"/>
  <c r="AE129" i="42"/>
  <c r="AD129" i="42"/>
  <c r="AC129" i="42"/>
  <c r="AB129" i="42"/>
  <c r="AA129" i="42"/>
  <c r="Z129" i="42"/>
  <c r="Y129" i="42"/>
  <c r="X129" i="42"/>
  <c r="W129" i="42"/>
  <c r="V129" i="42"/>
  <c r="U129" i="42"/>
  <c r="T129" i="42"/>
  <c r="S129" i="42"/>
  <c r="R129" i="42"/>
  <c r="Q129" i="42"/>
  <c r="P129" i="42"/>
  <c r="O129" i="42"/>
  <c r="N129" i="42"/>
  <c r="M129" i="42"/>
  <c r="L129" i="42"/>
  <c r="K129" i="42"/>
  <c r="J129" i="42"/>
  <c r="I129" i="42"/>
  <c r="H129" i="42"/>
  <c r="G129" i="42"/>
  <c r="F129" i="42"/>
  <c r="E129" i="42"/>
  <c r="D129" i="42"/>
  <c r="AV128" i="42"/>
  <c r="AU128" i="42"/>
  <c r="AT128" i="42"/>
  <c r="AS128" i="42"/>
  <c r="AR128" i="42"/>
  <c r="AQ128" i="42"/>
  <c r="AP128" i="42"/>
  <c r="AO128" i="42"/>
  <c r="AN128" i="42"/>
  <c r="AM128" i="42"/>
  <c r="AL128" i="42"/>
  <c r="AK128" i="42"/>
  <c r="AJ128" i="42"/>
  <c r="AI128" i="42"/>
  <c r="AH128" i="42"/>
  <c r="AG128" i="42"/>
  <c r="AF128" i="42"/>
  <c r="AE128" i="42"/>
  <c r="AD128" i="42"/>
  <c r="AC128" i="42"/>
  <c r="AB128" i="42"/>
  <c r="AA128" i="42"/>
  <c r="Z128" i="42"/>
  <c r="Y128" i="42"/>
  <c r="X128" i="42"/>
  <c r="W128" i="42"/>
  <c r="V128" i="42"/>
  <c r="U128" i="42"/>
  <c r="T128" i="42"/>
  <c r="S128" i="42"/>
  <c r="R128" i="42"/>
  <c r="Q128" i="42"/>
  <c r="P128" i="42"/>
  <c r="O128" i="42"/>
  <c r="N128" i="42"/>
  <c r="M128" i="42"/>
  <c r="L128" i="42"/>
  <c r="K128" i="42"/>
  <c r="J128" i="42"/>
  <c r="I128" i="42"/>
  <c r="H128" i="42"/>
  <c r="G128" i="42"/>
  <c r="F128" i="42"/>
  <c r="E128" i="42"/>
  <c r="D128" i="42"/>
  <c r="U127" i="42"/>
  <c r="T127" i="42"/>
  <c r="S127" i="42"/>
  <c r="R127" i="42"/>
  <c r="Q127" i="42"/>
  <c r="P127" i="42"/>
  <c r="O127" i="42"/>
  <c r="N127" i="42"/>
  <c r="M127" i="42"/>
  <c r="L127" i="42"/>
  <c r="K127" i="42"/>
  <c r="J127" i="42"/>
  <c r="I127" i="42"/>
  <c r="H127" i="42"/>
  <c r="G127" i="42"/>
  <c r="F127" i="42"/>
  <c r="E127" i="42"/>
  <c r="D127" i="42"/>
  <c r="AV126" i="42"/>
  <c r="AU126" i="42"/>
  <c r="AT126" i="42"/>
  <c r="AS126" i="42"/>
  <c r="AR126" i="42"/>
  <c r="AQ126" i="42"/>
  <c r="AP126" i="42"/>
  <c r="AO126" i="42"/>
  <c r="AN126" i="42"/>
  <c r="AM126" i="42"/>
  <c r="AL126" i="42"/>
  <c r="AK126" i="42"/>
  <c r="AJ126" i="42"/>
  <c r="AI126" i="42"/>
  <c r="AH126" i="42"/>
  <c r="AG126" i="42"/>
  <c r="AF126" i="42"/>
  <c r="AE126" i="42"/>
  <c r="AD126" i="42"/>
  <c r="AC126" i="42"/>
  <c r="AB126" i="42"/>
  <c r="AA126" i="42"/>
  <c r="Z126" i="42"/>
  <c r="Y126" i="42"/>
  <c r="X126" i="42"/>
  <c r="W126" i="42"/>
  <c r="V126" i="42"/>
  <c r="U126" i="42"/>
  <c r="T126" i="42"/>
  <c r="S126" i="42"/>
  <c r="R126" i="42"/>
  <c r="Q126" i="42"/>
  <c r="P126" i="42"/>
  <c r="O126" i="42"/>
  <c r="N126" i="42"/>
  <c r="M126" i="42"/>
  <c r="L126" i="42"/>
  <c r="K126" i="42"/>
  <c r="J126" i="42"/>
  <c r="I126" i="42"/>
  <c r="H126" i="42"/>
  <c r="G126" i="42"/>
  <c r="F126" i="42"/>
  <c r="E126" i="42"/>
  <c r="D126" i="42"/>
  <c r="AV125" i="42"/>
  <c r="AU125" i="42"/>
  <c r="AT125" i="42"/>
  <c r="AS125" i="42"/>
  <c r="AR125" i="42"/>
  <c r="AQ125" i="42"/>
  <c r="AP125" i="42"/>
  <c r="AO125" i="42"/>
  <c r="AN125" i="42"/>
  <c r="AM125" i="42"/>
  <c r="AL125" i="42"/>
  <c r="AK125" i="42"/>
  <c r="AJ125" i="42"/>
  <c r="AI125" i="42"/>
  <c r="AH125" i="42"/>
  <c r="AG125" i="42"/>
  <c r="AF125" i="42"/>
  <c r="AE125" i="42"/>
  <c r="AD125" i="42"/>
  <c r="AC125" i="42"/>
  <c r="AB125" i="42"/>
  <c r="AA125" i="42"/>
  <c r="Z125" i="42"/>
  <c r="Y125" i="42"/>
  <c r="X125" i="42"/>
  <c r="W125" i="42"/>
  <c r="V125" i="42"/>
  <c r="U125" i="42"/>
  <c r="T125" i="42"/>
  <c r="S125" i="42"/>
  <c r="R125" i="42"/>
  <c r="Q125" i="42"/>
  <c r="P125" i="42"/>
  <c r="O125" i="42"/>
  <c r="N125" i="42"/>
  <c r="M125" i="42"/>
  <c r="L125" i="42"/>
  <c r="K125" i="42"/>
  <c r="J125" i="42"/>
  <c r="I125" i="42"/>
  <c r="H125" i="42"/>
  <c r="G125" i="42"/>
  <c r="F125" i="42"/>
  <c r="E125" i="42"/>
  <c r="D125" i="42"/>
  <c r="AV124" i="42"/>
  <c r="AU124" i="42"/>
  <c r="AT124" i="42"/>
  <c r="AS124" i="42"/>
  <c r="AR124" i="42"/>
  <c r="AQ124" i="42"/>
  <c r="AP124" i="42"/>
  <c r="AO124" i="42"/>
  <c r="AN124" i="42"/>
  <c r="AM124" i="42"/>
  <c r="AL124" i="42"/>
  <c r="AK124" i="42"/>
  <c r="AJ124" i="42"/>
  <c r="AI124" i="42"/>
  <c r="AH124" i="42"/>
  <c r="AG124" i="42"/>
  <c r="AF124" i="42"/>
  <c r="AE124" i="42"/>
  <c r="AD124" i="42"/>
  <c r="AC124" i="42"/>
  <c r="AB124" i="42"/>
  <c r="AA124" i="42"/>
  <c r="Z124" i="42"/>
  <c r="Y124" i="42"/>
  <c r="X124" i="42"/>
  <c r="W124" i="42"/>
  <c r="V124" i="42"/>
  <c r="U124" i="42"/>
  <c r="T124" i="42"/>
  <c r="S124" i="42"/>
  <c r="R124" i="42"/>
  <c r="Q124" i="42"/>
  <c r="P124" i="42"/>
  <c r="O124" i="42"/>
  <c r="N124" i="42"/>
  <c r="M124" i="42"/>
  <c r="L124" i="42"/>
  <c r="K124" i="42"/>
  <c r="J124" i="42"/>
  <c r="I124" i="42"/>
  <c r="H124" i="42"/>
  <c r="G124" i="42"/>
  <c r="F124" i="42"/>
  <c r="E124" i="42"/>
  <c r="D124" i="42"/>
  <c r="AV123" i="42"/>
  <c r="AU123" i="42"/>
  <c r="AT123" i="42"/>
  <c r="AS123" i="42"/>
  <c r="AR123" i="42"/>
  <c r="AQ123" i="42"/>
  <c r="AP123" i="42"/>
  <c r="AO123" i="42"/>
  <c r="AN123" i="42"/>
  <c r="AM123" i="42"/>
  <c r="AL123" i="42"/>
  <c r="AK123" i="42"/>
  <c r="AJ123" i="42"/>
  <c r="AI123" i="42"/>
  <c r="AH123" i="42"/>
  <c r="AG123" i="42"/>
  <c r="AF123" i="42"/>
  <c r="AE123" i="42"/>
  <c r="AD123" i="42"/>
  <c r="AC123" i="42"/>
  <c r="AB123" i="42"/>
  <c r="AA123" i="42"/>
  <c r="Z123" i="42"/>
  <c r="Y123" i="42"/>
  <c r="X123" i="42"/>
  <c r="W123" i="42"/>
  <c r="V123" i="42"/>
  <c r="U123" i="42"/>
  <c r="T123" i="42"/>
  <c r="S123" i="42"/>
  <c r="R123" i="42"/>
  <c r="Q123" i="42"/>
  <c r="P123" i="42"/>
  <c r="O123" i="42"/>
  <c r="N123" i="42"/>
  <c r="M123" i="42"/>
  <c r="L123" i="42"/>
  <c r="K123" i="42"/>
  <c r="J123" i="42"/>
  <c r="I123" i="42"/>
  <c r="H123" i="42"/>
  <c r="G123" i="42"/>
  <c r="F123" i="42"/>
  <c r="E123" i="42"/>
  <c r="D123" i="42"/>
  <c r="AV121" i="42"/>
  <c r="AU121" i="42"/>
  <c r="AT121" i="42"/>
  <c r="AS121" i="42"/>
  <c r="AR121" i="42"/>
  <c r="AQ121" i="42"/>
  <c r="AP121" i="42"/>
  <c r="AO121" i="42"/>
  <c r="AN121" i="42"/>
  <c r="AM121" i="42"/>
  <c r="AL121" i="42"/>
  <c r="AK121" i="42"/>
  <c r="AJ121" i="42"/>
  <c r="AI121" i="42"/>
  <c r="AH121" i="42"/>
  <c r="AG121" i="42"/>
  <c r="AF121" i="42"/>
  <c r="AE121" i="42"/>
  <c r="AD121" i="42"/>
  <c r="AC121" i="42"/>
  <c r="AB121" i="42"/>
  <c r="AA121" i="42"/>
  <c r="Z121" i="42"/>
  <c r="Y121" i="42"/>
  <c r="X121" i="42"/>
  <c r="W121" i="42"/>
  <c r="V121" i="42"/>
  <c r="U121" i="42"/>
  <c r="T121" i="42"/>
  <c r="S121" i="42"/>
  <c r="R121" i="42"/>
  <c r="Q121" i="42"/>
  <c r="P121" i="42"/>
  <c r="O121" i="42"/>
  <c r="N121" i="42"/>
  <c r="M121" i="42"/>
  <c r="L121" i="42"/>
  <c r="K121" i="42"/>
  <c r="J121" i="42"/>
  <c r="I121" i="42"/>
  <c r="H121" i="42"/>
  <c r="G121" i="42"/>
  <c r="F121" i="42"/>
  <c r="E121" i="42"/>
  <c r="D121" i="42"/>
  <c r="AV120" i="42"/>
  <c r="AU120" i="42"/>
  <c r="AT120" i="42"/>
  <c r="AS120" i="42"/>
  <c r="AR120" i="42"/>
  <c r="AQ120" i="42"/>
  <c r="AP120" i="42"/>
  <c r="AO120" i="42"/>
  <c r="AN120" i="42"/>
  <c r="AM120" i="42"/>
  <c r="AL120" i="42"/>
  <c r="AK120" i="42"/>
  <c r="AJ120" i="42"/>
  <c r="AI120" i="42"/>
  <c r="AH120" i="42"/>
  <c r="AG120" i="42"/>
  <c r="AF120" i="42"/>
  <c r="AE120" i="42"/>
  <c r="AD120" i="42"/>
  <c r="AC120" i="42"/>
  <c r="AB120" i="42"/>
  <c r="AA120" i="42"/>
  <c r="Z120" i="42"/>
  <c r="Y120" i="42"/>
  <c r="X120" i="42"/>
  <c r="W120" i="42"/>
  <c r="V120" i="42"/>
  <c r="U120" i="42"/>
  <c r="T120" i="42"/>
  <c r="S120" i="42"/>
  <c r="R120" i="42"/>
  <c r="Q120" i="42"/>
  <c r="P120" i="42"/>
  <c r="O120" i="42"/>
  <c r="N120" i="42"/>
  <c r="M120" i="42"/>
  <c r="L120" i="42"/>
  <c r="K120" i="42"/>
  <c r="J120" i="42"/>
  <c r="I120" i="42"/>
  <c r="H120" i="42"/>
  <c r="G120" i="42"/>
  <c r="F120" i="42"/>
  <c r="E120" i="42"/>
  <c r="D120" i="42"/>
  <c r="AV119" i="42"/>
  <c r="AU119" i="42"/>
  <c r="AT119" i="42"/>
  <c r="AS119" i="42"/>
  <c r="AR119" i="42"/>
  <c r="AQ119" i="42"/>
  <c r="AP119" i="42"/>
  <c r="AO119" i="42"/>
  <c r="AN119" i="42"/>
  <c r="AM119" i="42"/>
  <c r="AL119" i="42"/>
  <c r="AK119" i="42"/>
  <c r="AJ119" i="42"/>
  <c r="AI119" i="42"/>
  <c r="AH119" i="42"/>
  <c r="AG119" i="42"/>
  <c r="AF119" i="42"/>
  <c r="AE119" i="42"/>
  <c r="AD119" i="42"/>
  <c r="AC119" i="42"/>
  <c r="AB119" i="42"/>
  <c r="AA119" i="42"/>
  <c r="Z119" i="42"/>
  <c r="Y119" i="42"/>
  <c r="X119" i="42"/>
  <c r="W119" i="42"/>
  <c r="V119" i="42"/>
  <c r="U119" i="42"/>
  <c r="T119" i="42"/>
  <c r="S119" i="42"/>
  <c r="R119" i="42"/>
  <c r="Q119" i="42"/>
  <c r="P119" i="42"/>
  <c r="O119" i="42"/>
  <c r="N119" i="42"/>
  <c r="M119" i="42"/>
  <c r="L119" i="42"/>
  <c r="K119" i="42"/>
  <c r="J119" i="42"/>
  <c r="I119" i="42"/>
  <c r="H119" i="42"/>
  <c r="G119" i="42"/>
  <c r="F119" i="42"/>
  <c r="E119" i="42"/>
  <c r="D119" i="42"/>
  <c r="AV118" i="42"/>
  <c r="AU118" i="42"/>
  <c r="AT118" i="42"/>
  <c r="AS118" i="42"/>
  <c r="AR118" i="42"/>
  <c r="AQ118" i="42"/>
  <c r="AP118" i="42"/>
  <c r="AO118" i="42"/>
  <c r="AN118" i="42"/>
  <c r="AM118" i="42"/>
  <c r="AL118" i="42"/>
  <c r="AK118" i="42"/>
  <c r="AJ118" i="42"/>
  <c r="AI118" i="42"/>
  <c r="AH118" i="42"/>
  <c r="AG118" i="42"/>
  <c r="AF118" i="42"/>
  <c r="AE118" i="42"/>
  <c r="AD118" i="42"/>
  <c r="AC118" i="42"/>
  <c r="AB118" i="42"/>
  <c r="AA118" i="42"/>
  <c r="Z118" i="42"/>
  <c r="Y118" i="42"/>
  <c r="X118" i="42"/>
  <c r="W118" i="42"/>
  <c r="V118" i="42"/>
  <c r="U118" i="42"/>
  <c r="T118" i="42"/>
  <c r="S118" i="42"/>
  <c r="R118" i="42"/>
  <c r="Q118" i="42"/>
  <c r="P118" i="42"/>
  <c r="O118" i="42"/>
  <c r="N118" i="42"/>
  <c r="M118" i="42"/>
  <c r="L118" i="42"/>
  <c r="K118" i="42"/>
  <c r="J118" i="42"/>
  <c r="I118" i="42"/>
  <c r="H118" i="42"/>
  <c r="G118" i="42"/>
  <c r="F118" i="42"/>
  <c r="E118" i="42"/>
  <c r="D118" i="42"/>
  <c r="AV117" i="42"/>
  <c r="AU117" i="42"/>
  <c r="AT117" i="42"/>
  <c r="AS117" i="42"/>
  <c r="AR117" i="42"/>
  <c r="AQ117" i="42"/>
  <c r="AP117" i="42"/>
  <c r="AO117" i="42"/>
  <c r="AN117" i="42"/>
  <c r="AM117" i="42"/>
  <c r="AL117" i="42"/>
  <c r="AK117" i="42"/>
  <c r="AJ117" i="42"/>
  <c r="AI117" i="42"/>
  <c r="AH117" i="42"/>
  <c r="AG117" i="42"/>
  <c r="AF117" i="42"/>
  <c r="AE117" i="42"/>
  <c r="AD117" i="42"/>
  <c r="AC117" i="42"/>
  <c r="AB117" i="42"/>
  <c r="AA117" i="42"/>
  <c r="Z117" i="42"/>
  <c r="Y117" i="42"/>
  <c r="X117" i="42"/>
  <c r="W117" i="42"/>
  <c r="V117" i="42"/>
  <c r="U117" i="42"/>
  <c r="T117" i="42"/>
  <c r="S117" i="42"/>
  <c r="R117" i="42"/>
  <c r="Q117" i="42"/>
  <c r="P117" i="42"/>
  <c r="O117" i="42"/>
  <c r="N117" i="42"/>
  <c r="M117" i="42"/>
  <c r="L117" i="42"/>
  <c r="K117" i="42"/>
  <c r="J117" i="42"/>
  <c r="I117" i="42"/>
  <c r="H117" i="42"/>
  <c r="G117" i="42"/>
  <c r="F117" i="42"/>
  <c r="E117" i="42"/>
  <c r="D117" i="42"/>
  <c r="AV116" i="42"/>
  <c r="AU116" i="42"/>
  <c r="AT116" i="42"/>
  <c r="AS116" i="42"/>
  <c r="AR116" i="42"/>
  <c r="AQ116" i="42"/>
  <c r="AP116" i="42"/>
  <c r="AO116" i="42"/>
  <c r="AN116" i="42"/>
  <c r="AM116" i="42"/>
  <c r="AL116" i="42"/>
  <c r="AK116" i="42"/>
  <c r="AJ116" i="42"/>
  <c r="AI116" i="42"/>
  <c r="AH116" i="42"/>
  <c r="AG116" i="42"/>
  <c r="AF116" i="42"/>
  <c r="AE116" i="42"/>
  <c r="AD116" i="42"/>
  <c r="AC116" i="42"/>
  <c r="AB116" i="42"/>
  <c r="AA116" i="42"/>
  <c r="Z116" i="42"/>
  <c r="Y116" i="42"/>
  <c r="X116" i="42"/>
  <c r="W116" i="42"/>
  <c r="V116" i="42"/>
  <c r="U116" i="42"/>
  <c r="T116" i="42"/>
  <c r="S116" i="42"/>
  <c r="R116" i="42"/>
  <c r="Q116" i="42"/>
  <c r="P116" i="42"/>
  <c r="O116" i="42"/>
  <c r="N116" i="42"/>
  <c r="M116" i="42"/>
  <c r="L116" i="42"/>
  <c r="K116" i="42"/>
  <c r="J116" i="42"/>
  <c r="I116" i="42"/>
  <c r="H116" i="42"/>
  <c r="G116" i="42"/>
  <c r="F116" i="42"/>
  <c r="E116" i="42"/>
  <c r="D116" i="42"/>
  <c r="AV115" i="42"/>
  <c r="AU115" i="42"/>
  <c r="AT115" i="42"/>
  <c r="AS115" i="42"/>
  <c r="AR115" i="42"/>
  <c r="AQ115" i="42"/>
  <c r="AP115" i="42"/>
  <c r="AO115" i="42"/>
  <c r="AN115" i="42"/>
  <c r="AM115" i="42"/>
  <c r="AL115" i="42"/>
  <c r="AK115" i="42"/>
  <c r="AJ115" i="42"/>
  <c r="AI115" i="42"/>
  <c r="AH115" i="42"/>
  <c r="AG115" i="42"/>
  <c r="AF115" i="42"/>
  <c r="AE115" i="42"/>
  <c r="AD115" i="42"/>
  <c r="AC115" i="42"/>
  <c r="AB115" i="42"/>
  <c r="AA115" i="42"/>
  <c r="Z115" i="42"/>
  <c r="Y115" i="42"/>
  <c r="X115" i="42"/>
  <c r="W115" i="42"/>
  <c r="V115" i="42"/>
  <c r="U115" i="42"/>
  <c r="T115" i="42"/>
  <c r="S115" i="42"/>
  <c r="R115" i="42"/>
  <c r="Q115" i="42"/>
  <c r="P115" i="42"/>
  <c r="O115" i="42"/>
  <c r="N115" i="42"/>
  <c r="M115" i="42"/>
  <c r="L115" i="42"/>
  <c r="K115" i="42"/>
  <c r="J115" i="42"/>
  <c r="I115" i="42"/>
  <c r="H115" i="42"/>
  <c r="G115" i="42"/>
  <c r="F115" i="42"/>
  <c r="E115" i="42"/>
  <c r="D115" i="42"/>
  <c r="AV114" i="42"/>
  <c r="AU114" i="42"/>
  <c r="AT114" i="42"/>
  <c r="AS114" i="42"/>
  <c r="AR114" i="42"/>
  <c r="AQ114" i="42"/>
  <c r="AP114" i="42"/>
  <c r="AO114" i="42"/>
  <c r="AN114" i="42"/>
  <c r="AM114" i="42"/>
  <c r="AL114" i="42"/>
  <c r="AK114" i="42"/>
  <c r="AJ114" i="42"/>
  <c r="AI114" i="42"/>
  <c r="AH114" i="42"/>
  <c r="AG114" i="42"/>
  <c r="AF114" i="42"/>
  <c r="AE114" i="42"/>
  <c r="AD114" i="42"/>
  <c r="AC114" i="42"/>
  <c r="AB114" i="42"/>
  <c r="AA114" i="42"/>
  <c r="Z114" i="42"/>
  <c r="Y114" i="42"/>
  <c r="X114" i="42"/>
  <c r="W114" i="42"/>
  <c r="V114" i="42"/>
  <c r="U114" i="42"/>
  <c r="T114" i="42"/>
  <c r="S114" i="42"/>
  <c r="R114" i="42"/>
  <c r="Q114" i="42"/>
  <c r="P114" i="42"/>
  <c r="O114" i="42"/>
  <c r="N114" i="42"/>
  <c r="M114" i="42"/>
  <c r="L114" i="42"/>
  <c r="K114" i="42"/>
  <c r="J114" i="42"/>
  <c r="I114" i="42"/>
  <c r="H114" i="42"/>
  <c r="G114" i="42"/>
  <c r="F114" i="42"/>
  <c r="E114" i="42"/>
  <c r="D114" i="42"/>
  <c r="AV113" i="42"/>
  <c r="AU113" i="42"/>
  <c r="AT113" i="42"/>
  <c r="AS113" i="42"/>
  <c r="AR113" i="42"/>
  <c r="AQ113" i="42"/>
  <c r="AP113" i="42"/>
  <c r="AO113" i="42"/>
  <c r="AN113" i="42"/>
  <c r="AM113" i="42"/>
  <c r="AL113" i="42"/>
  <c r="AK113" i="42"/>
  <c r="AJ113" i="42"/>
  <c r="AI113" i="42"/>
  <c r="AH113" i="42"/>
  <c r="AG113" i="42"/>
  <c r="AF113" i="42"/>
  <c r="AE113" i="42"/>
  <c r="AD113" i="42"/>
  <c r="AC113" i="42"/>
  <c r="AB113" i="42"/>
  <c r="AA113" i="42"/>
  <c r="Z113" i="42"/>
  <c r="Y113" i="42"/>
  <c r="X113" i="42"/>
  <c r="W113" i="42"/>
  <c r="V113" i="42"/>
  <c r="U113" i="42"/>
  <c r="T113" i="42"/>
  <c r="S113" i="42"/>
  <c r="R113" i="42"/>
  <c r="Q113" i="42"/>
  <c r="P113" i="42"/>
  <c r="O113" i="42"/>
  <c r="N113" i="42"/>
  <c r="M113" i="42"/>
  <c r="L113" i="42"/>
  <c r="K113" i="42"/>
  <c r="J113" i="42"/>
  <c r="I113" i="42"/>
  <c r="H113" i="42"/>
  <c r="G113" i="42"/>
  <c r="F113" i="42"/>
  <c r="E113" i="42"/>
  <c r="D113" i="42"/>
  <c r="AV112" i="42"/>
  <c r="AU112" i="42"/>
  <c r="AT112" i="42"/>
  <c r="AS112" i="42"/>
  <c r="AR112" i="42"/>
  <c r="AQ112" i="42"/>
  <c r="AP112" i="42"/>
  <c r="AO112" i="42"/>
  <c r="AN112" i="42"/>
  <c r="AM112" i="42"/>
  <c r="AL112" i="42"/>
  <c r="AK112" i="42"/>
  <c r="AJ112" i="42"/>
  <c r="AI112" i="42"/>
  <c r="AH112" i="42"/>
  <c r="AG112" i="42"/>
  <c r="AF112" i="42"/>
  <c r="AE112" i="42"/>
  <c r="AD112" i="42"/>
  <c r="AC112" i="42"/>
  <c r="AB112" i="42"/>
  <c r="AA112" i="42"/>
  <c r="Z112" i="42"/>
  <c r="Y112" i="42"/>
  <c r="X112" i="42"/>
  <c r="W112" i="42"/>
  <c r="V112" i="42"/>
  <c r="U112" i="42"/>
  <c r="T112" i="42"/>
  <c r="S112" i="42"/>
  <c r="R112" i="42"/>
  <c r="Q112" i="42"/>
  <c r="P112" i="42"/>
  <c r="O112" i="42"/>
  <c r="N112" i="42"/>
  <c r="M112" i="42"/>
  <c r="L112" i="42"/>
  <c r="K112" i="42"/>
  <c r="J112" i="42"/>
  <c r="I112" i="42"/>
  <c r="H112" i="42"/>
  <c r="G112" i="42"/>
  <c r="F112" i="42"/>
  <c r="E112" i="42"/>
  <c r="D112" i="42"/>
  <c r="AV111" i="42"/>
  <c r="AU111" i="42"/>
  <c r="AT111" i="42"/>
  <c r="AS111" i="42"/>
  <c r="AR111" i="42"/>
  <c r="AQ111" i="42"/>
  <c r="AP111" i="42"/>
  <c r="AO111" i="42"/>
  <c r="AN111" i="42"/>
  <c r="AM111" i="42"/>
  <c r="AL111" i="42"/>
  <c r="AK111" i="42"/>
  <c r="AJ111" i="42"/>
  <c r="AI111" i="42"/>
  <c r="AH111" i="42"/>
  <c r="AG111" i="42"/>
  <c r="AF111" i="42"/>
  <c r="AE111" i="42"/>
  <c r="AD111" i="42"/>
  <c r="AC111" i="42"/>
  <c r="AB111" i="42"/>
  <c r="AA111" i="42"/>
  <c r="Z111" i="42"/>
  <c r="Y111" i="42"/>
  <c r="X111" i="42"/>
  <c r="W111" i="42"/>
  <c r="V111" i="42"/>
  <c r="U111" i="42"/>
  <c r="T111" i="42"/>
  <c r="S111" i="42"/>
  <c r="R111" i="42"/>
  <c r="Q111" i="42"/>
  <c r="P111" i="42"/>
  <c r="O111" i="42"/>
  <c r="N111" i="42"/>
  <c r="M111" i="42"/>
  <c r="L111" i="42"/>
  <c r="K111" i="42"/>
  <c r="J111" i="42"/>
  <c r="I111" i="42"/>
  <c r="H111" i="42"/>
  <c r="G111" i="42"/>
  <c r="F111" i="42"/>
  <c r="E111" i="42"/>
  <c r="D111" i="42"/>
  <c r="AV110" i="42"/>
  <c r="AU110" i="42"/>
  <c r="AT110" i="42"/>
  <c r="AS110" i="42"/>
  <c r="AR110" i="42"/>
  <c r="AQ110" i="42"/>
  <c r="AP110" i="42"/>
  <c r="AO110" i="42"/>
  <c r="AN110" i="42"/>
  <c r="AM110" i="42"/>
  <c r="AL110" i="42"/>
  <c r="AK110" i="42"/>
  <c r="AJ110" i="42"/>
  <c r="AI110" i="42"/>
  <c r="AH110" i="42"/>
  <c r="AG110" i="42"/>
  <c r="AF110" i="42"/>
  <c r="AE110" i="42"/>
  <c r="AD110" i="42"/>
  <c r="AC110" i="42"/>
  <c r="AB110" i="42"/>
  <c r="AA110" i="42"/>
  <c r="Z110" i="42"/>
  <c r="Y110" i="42"/>
  <c r="X110" i="42"/>
  <c r="W110" i="42"/>
  <c r="V110" i="42"/>
  <c r="U110" i="42"/>
  <c r="T110" i="42"/>
  <c r="S110" i="42"/>
  <c r="R110" i="42"/>
  <c r="Q110" i="42"/>
  <c r="P110" i="42"/>
  <c r="O110" i="42"/>
  <c r="N110" i="42"/>
  <c r="M110" i="42"/>
  <c r="L110" i="42"/>
  <c r="K110" i="42"/>
  <c r="J110" i="42"/>
  <c r="I110" i="42"/>
  <c r="H110" i="42"/>
  <c r="G110" i="42"/>
  <c r="F110" i="42"/>
  <c r="E110" i="42"/>
  <c r="D110" i="42"/>
  <c r="AV109" i="42"/>
  <c r="AU109" i="42"/>
  <c r="AT109" i="42"/>
  <c r="AS109" i="42"/>
  <c r="AR109" i="42"/>
  <c r="AQ109" i="42"/>
  <c r="AP109" i="42"/>
  <c r="AO109" i="42"/>
  <c r="AN109" i="42"/>
  <c r="AM109" i="42"/>
  <c r="AL109" i="42"/>
  <c r="AK109" i="42"/>
  <c r="AJ109" i="42"/>
  <c r="AI109" i="42"/>
  <c r="AH109" i="42"/>
  <c r="AG109" i="42"/>
  <c r="AF109" i="42"/>
  <c r="AE109" i="42"/>
  <c r="AD109" i="42"/>
  <c r="AC109" i="42"/>
  <c r="AB109" i="42"/>
  <c r="AA109" i="42"/>
  <c r="Z109" i="42"/>
  <c r="Y109" i="42"/>
  <c r="X109" i="42"/>
  <c r="W109" i="42"/>
  <c r="V109" i="42"/>
  <c r="U109" i="42"/>
  <c r="T109" i="42"/>
  <c r="S109" i="42"/>
  <c r="R109" i="42"/>
  <c r="Q109" i="42"/>
  <c r="P109" i="42"/>
  <c r="O109" i="42"/>
  <c r="N109" i="42"/>
  <c r="M109" i="42"/>
  <c r="L109" i="42"/>
  <c r="K109" i="42"/>
  <c r="J109" i="42"/>
  <c r="I109" i="42"/>
  <c r="H109" i="42"/>
  <c r="G109" i="42"/>
  <c r="F109" i="42"/>
  <c r="E109" i="42"/>
  <c r="D109" i="42"/>
  <c r="AV108" i="42"/>
  <c r="AU108" i="42"/>
  <c r="AT108" i="42"/>
  <c r="AS108" i="42"/>
  <c r="AR108" i="42"/>
  <c r="AQ108" i="42"/>
  <c r="AP108" i="42"/>
  <c r="AO108" i="42"/>
  <c r="AN108" i="42"/>
  <c r="AM108" i="42"/>
  <c r="AL108" i="42"/>
  <c r="AK108" i="42"/>
  <c r="AJ108" i="42"/>
  <c r="AI108" i="42"/>
  <c r="AH108" i="42"/>
  <c r="AG108" i="42"/>
  <c r="AF108" i="42"/>
  <c r="AE108" i="42"/>
  <c r="AD108" i="42"/>
  <c r="AC108" i="42"/>
  <c r="AB108" i="42"/>
  <c r="AA108" i="42"/>
  <c r="Z108" i="42"/>
  <c r="Y108" i="42"/>
  <c r="X108" i="42"/>
  <c r="W108" i="42"/>
  <c r="V108" i="42"/>
  <c r="U108" i="42"/>
  <c r="T108" i="42"/>
  <c r="S108" i="42"/>
  <c r="R108" i="42"/>
  <c r="Q108" i="42"/>
  <c r="P108" i="42"/>
  <c r="O108" i="42"/>
  <c r="N108" i="42"/>
  <c r="M108" i="42"/>
  <c r="L108" i="42"/>
  <c r="K108" i="42"/>
  <c r="J108" i="42"/>
  <c r="I108" i="42"/>
  <c r="H108" i="42"/>
  <c r="G108" i="42"/>
  <c r="F108" i="42"/>
  <c r="E108" i="42"/>
  <c r="D108" i="42"/>
  <c r="U106" i="42"/>
  <c r="T106" i="42"/>
  <c r="S106" i="42"/>
  <c r="R106" i="42"/>
  <c r="Q106" i="42"/>
  <c r="P106" i="42"/>
  <c r="O106" i="42"/>
  <c r="N106" i="42"/>
  <c r="M106" i="42"/>
  <c r="L106" i="42"/>
  <c r="K106" i="42"/>
  <c r="J106" i="42"/>
  <c r="I106" i="42"/>
  <c r="H106" i="42"/>
  <c r="G106" i="42"/>
  <c r="F106" i="42"/>
  <c r="E106" i="42"/>
  <c r="D106" i="42"/>
  <c r="U105" i="42"/>
  <c r="T105" i="42"/>
  <c r="S105" i="42"/>
  <c r="R105" i="42"/>
  <c r="Q105" i="42"/>
  <c r="P105" i="42"/>
  <c r="O105" i="42"/>
  <c r="N105" i="42"/>
  <c r="M105" i="42"/>
  <c r="L105" i="42"/>
  <c r="K105" i="42"/>
  <c r="J105" i="42"/>
  <c r="I105" i="42"/>
  <c r="H105" i="42"/>
  <c r="G105" i="42"/>
  <c r="F105" i="42"/>
  <c r="E105" i="42"/>
  <c r="D105" i="42"/>
  <c r="AV104" i="42"/>
  <c r="AU104" i="42"/>
  <c r="AT104" i="42"/>
  <c r="AS104" i="42"/>
  <c r="AR104" i="42"/>
  <c r="AQ104" i="42"/>
  <c r="AP104" i="42"/>
  <c r="AO104" i="42"/>
  <c r="AN104" i="42"/>
  <c r="AM104" i="42"/>
  <c r="AL104" i="42"/>
  <c r="AK104" i="42"/>
  <c r="AJ104" i="42"/>
  <c r="AI104" i="42"/>
  <c r="AH104" i="42"/>
  <c r="AG104" i="42"/>
  <c r="AF104" i="42"/>
  <c r="AE104" i="42"/>
  <c r="AD104" i="42"/>
  <c r="AC104" i="42"/>
  <c r="AB104" i="42"/>
  <c r="AA104" i="42"/>
  <c r="Z104" i="42"/>
  <c r="Y104" i="42"/>
  <c r="X104" i="42"/>
  <c r="W104" i="42"/>
  <c r="V104" i="42"/>
  <c r="U104" i="42"/>
  <c r="T104" i="42"/>
  <c r="S104" i="42"/>
  <c r="R104" i="42"/>
  <c r="Q104" i="42"/>
  <c r="P104" i="42"/>
  <c r="O104" i="42"/>
  <c r="N104" i="42"/>
  <c r="M104" i="42"/>
  <c r="L104" i="42"/>
  <c r="K104" i="42"/>
  <c r="J104" i="42"/>
  <c r="I104" i="42"/>
  <c r="H104" i="42"/>
  <c r="G104" i="42"/>
  <c r="F104" i="42"/>
  <c r="E104" i="42"/>
  <c r="D104" i="42"/>
  <c r="U103" i="42"/>
  <c r="T103" i="42"/>
  <c r="S103" i="42"/>
  <c r="R103" i="42"/>
  <c r="Q103" i="42"/>
  <c r="P103" i="42"/>
  <c r="O103" i="42"/>
  <c r="N103" i="42"/>
  <c r="M103" i="42"/>
  <c r="L103" i="42"/>
  <c r="K103" i="42"/>
  <c r="J103" i="42"/>
  <c r="I103" i="42"/>
  <c r="H103" i="42"/>
  <c r="G103" i="42"/>
  <c r="F103" i="42"/>
  <c r="E103" i="42"/>
  <c r="D103" i="42"/>
  <c r="AV102" i="42"/>
  <c r="AU102" i="42"/>
  <c r="AT102" i="42"/>
  <c r="AS102" i="42"/>
  <c r="AR102" i="42"/>
  <c r="AQ102" i="42"/>
  <c r="AP102" i="42"/>
  <c r="AO102" i="42"/>
  <c r="AN102" i="42"/>
  <c r="AM102" i="42"/>
  <c r="AL102" i="42"/>
  <c r="AK102" i="42"/>
  <c r="AJ102" i="42"/>
  <c r="AI102" i="42"/>
  <c r="AH102" i="42"/>
  <c r="AG102" i="42"/>
  <c r="AF102" i="42"/>
  <c r="AE102" i="42"/>
  <c r="AD102" i="42"/>
  <c r="AC102" i="42"/>
  <c r="AB102" i="42"/>
  <c r="AA102" i="42"/>
  <c r="Z102" i="42"/>
  <c r="Y102" i="42"/>
  <c r="X102" i="42"/>
  <c r="W102" i="42"/>
  <c r="V102" i="42"/>
  <c r="U102" i="42"/>
  <c r="T102" i="42"/>
  <c r="S102" i="42"/>
  <c r="R102" i="42"/>
  <c r="Q102" i="42"/>
  <c r="P102" i="42"/>
  <c r="O102" i="42"/>
  <c r="N102" i="42"/>
  <c r="M102" i="42"/>
  <c r="L102" i="42"/>
  <c r="K102" i="42"/>
  <c r="J102" i="42"/>
  <c r="I102" i="42"/>
  <c r="H102" i="42"/>
  <c r="G102" i="42"/>
  <c r="F102" i="42"/>
  <c r="E102" i="42"/>
  <c r="D102" i="42"/>
  <c r="AV101" i="42"/>
  <c r="AU101" i="42"/>
  <c r="AT101" i="42"/>
  <c r="AS101" i="42"/>
  <c r="AR101" i="42"/>
  <c r="AQ101" i="42"/>
  <c r="AP101" i="42"/>
  <c r="AO101" i="42"/>
  <c r="AN101" i="42"/>
  <c r="AM101" i="42"/>
  <c r="AL101" i="42"/>
  <c r="AK101" i="42"/>
  <c r="AJ101" i="42"/>
  <c r="AI101" i="42"/>
  <c r="AH101" i="42"/>
  <c r="AG101" i="42"/>
  <c r="AF101" i="42"/>
  <c r="AE101" i="42"/>
  <c r="AD101" i="42"/>
  <c r="AC101" i="42"/>
  <c r="AB101" i="42"/>
  <c r="AA101" i="42"/>
  <c r="Z101" i="42"/>
  <c r="Y101" i="42"/>
  <c r="X101" i="42"/>
  <c r="W101" i="42"/>
  <c r="V101" i="42"/>
  <c r="U101" i="42"/>
  <c r="T101" i="42"/>
  <c r="S101" i="42"/>
  <c r="R101" i="42"/>
  <c r="Q101" i="42"/>
  <c r="P101" i="42"/>
  <c r="O101" i="42"/>
  <c r="N101" i="42"/>
  <c r="M101" i="42"/>
  <c r="L101" i="42"/>
  <c r="K101" i="42"/>
  <c r="J101" i="42"/>
  <c r="I101" i="42"/>
  <c r="H101" i="42"/>
  <c r="G101" i="42"/>
  <c r="F101" i="42"/>
  <c r="E101" i="42"/>
  <c r="D101" i="42"/>
  <c r="AV100" i="42"/>
  <c r="AU100" i="42"/>
  <c r="AT100" i="42"/>
  <c r="AS100" i="42"/>
  <c r="AR100" i="42"/>
  <c r="AQ100" i="42"/>
  <c r="AP100" i="42"/>
  <c r="AO100" i="42"/>
  <c r="AN100" i="42"/>
  <c r="AM100" i="42"/>
  <c r="AL100" i="42"/>
  <c r="AK100" i="42"/>
  <c r="AJ100" i="42"/>
  <c r="AI100" i="42"/>
  <c r="AH100" i="42"/>
  <c r="AG100" i="42"/>
  <c r="AF100" i="42"/>
  <c r="AE100" i="42"/>
  <c r="AD100" i="42"/>
  <c r="AC100" i="42"/>
  <c r="AB100" i="42"/>
  <c r="AA100" i="42"/>
  <c r="Z100" i="42"/>
  <c r="Y100" i="42"/>
  <c r="X100" i="42"/>
  <c r="W100" i="42"/>
  <c r="V100" i="42"/>
  <c r="U100" i="42"/>
  <c r="T100" i="42"/>
  <c r="S100" i="42"/>
  <c r="R100" i="42"/>
  <c r="Q100" i="42"/>
  <c r="P100" i="42"/>
  <c r="O100" i="42"/>
  <c r="N100" i="42"/>
  <c r="M100" i="42"/>
  <c r="L100" i="42"/>
  <c r="K100" i="42"/>
  <c r="J100" i="42"/>
  <c r="I100" i="42"/>
  <c r="H100" i="42"/>
  <c r="G100" i="42"/>
  <c r="F100" i="42"/>
  <c r="E100" i="42"/>
  <c r="D100" i="42"/>
  <c r="U99" i="42"/>
  <c r="T99" i="42"/>
  <c r="S99" i="42"/>
  <c r="R99" i="42"/>
  <c r="Q99" i="42"/>
  <c r="P99" i="42"/>
  <c r="O99" i="42"/>
  <c r="N99" i="42"/>
  <c r="M99" i="42"/>
  <c r="L99" i="42"/>
  <c r="K99" i="42"/>
  <c r="J99" i="42"/>
  <c r="I99" i="42"/>
  <c r="H99" i="42"/>
  <c r="G99" i="42"/>
  <c r="F99" i="42"/>
  <c r="E99" i="42"/>
  <c r="D99" i="42"/>
  <c r="AV98" i="42"/>
  <c r="AU98" i="42"/>
  <c r="AT98" i="42"/>
  <c r="AS98" i="42"/>
  <c r="AR98" i="42"/>
  <c r="AQ98" i="42"/>
  <c r="AP98" i="42"/>
  <c r="AO98" i="42"/>
  <c r="AN98" i="42"/>
  <c r="AM98" i="42"/>
  <c r="AL98" i="42"/>
  <c r="AK98" i="42"/>
  <c r="AJ98" i="42"/>
  <c r="AI98" i="42"/>
  <c r="AH98" i="42"/>
  <c r="AG98" i="42"/>
  <c r="AF98" i="42"/>
  <c r="AE98" i="42"/>
  <c r="AD98" i="42"/>
  <c r="AC98" i="42"/>
  <c r="AB98" i="42"/>
  <c r="AA98" i="42"/>
  <c r="Z98" i="42"/>
  <c r="Y98" i="42"/>
  <c r="X98" i="42"/>
  <c r="W98" i="42"/>
  <c r="V98" i="42"/>
  <c r="U98" i="42"/>
  <c r="T98" i="42"/>
  <c r="S98" i="42"/>
  <c r="R98" i="42"/>
  <c r="Q98" i="42"/>
  <c r="P98" i="42"/>
  <c r="O98" i="42"/>
  <c r="N98" i="42"/>
  <c r="M98" i="42"/>
  <c r="L98" i="42"/>
  <c r="K98" i="42"/>
  <c r="J98" i="42"/>
  <c r="I98" i="42"/>
  <c r="H98" i="42"/>
  <c r="G98" i="42"/>
  <c r="F98" i="42"/>
  <c r="E98" i="42"/>
  <c r="D98" i="42"/>
  <c r="AV97" i="42"/>
  <c r="AU97" i="42"/>
  <c r="AT97" i="42"/>
  <c r="AS97" i="42"/>
  <c r="AR97" i="42"/>
  <c r="AQ97" i="42"/>
  <c r="AP97" i="42"/>
  <c r="AO97" i="42"/>
  <c r="AN97" i="42"/>
  <c r="AM97" i="42"/>
  <c r="AL97" i="42"/>
  <c r="AK97" i="42"/>
  <c r="AJ97" i="42"/>
  <c r="AI97" i="42"/>
  <c r="AH97" i="42"/>
  <c r="AG97" i="42"/>
  <c r="AF97" i="42"/>
  <c r="AE97" i="42"/>
  <c r="AD97" i="42"/>
  <c r="AC97" i="42"/>
  <c r="AB97" i="42"/>
  <c r="AA97" i="42"/>
  <c r="Z97" i="42"/>
  <c r="Y97" i="42"/>
  <c r="X97" i="42"/>
  <c r="W97" i="42"/>
  <c r="V97" i="42"/>
  <c r="U97" i="42"/>
  <c r="T97" i="42"/>
  <c r="S97" i="42"/>
  <c r="R97" i="42"/>
  <c r="Q97" i="42"/>
  <c r="P97" i="42"/>
  <c r="O97" i="42"/>
  <c r="N97" i="42"/>
  <c r="M97" i="42"/>
  <c r="L97" i="42"/>
  <c r="K97" i="42"/>
  <c r="J97" i="42"/>
  <c r="I97" i="42"/>
  <c r="H97" i="42"/>
  <c r="G97" i="42"/>
  <c r="F97" i="42"/>
  <c r="E97" i="42"/>
  <c r="D97" i="42"/>
  <c r="AV96" i="42"/>
  <c r="AU96" i="42"/>
  <c r="AT96" i="42"/>
  <c r="AS96" i="42"/>
  <c r="AR96" i="42"/>
  <c r="AQ96" i="42"/>
  <c r="AP96" i="42"/>
  <c r="AO96" i="42"/>
  <c r="AN96" i="42"/>
  <c r="AM96" i="42"/>
  <c r="AL96" i="42"/>
  <c r="AK96" i="42"/>
  <c r="AJ96" i="42"/>
  <c r="AI96" i="42"/>
  <c r="AH96" i="42"/>
  <c r="AG96" i="42"/>
  <c r="AF96" i="42"/>
  <c r="AE96" i="42"/>
  <c r="AD96" i="42"/>
  <c r="AC96" i="42"/>
  <c r="AB96" i="42"/>
  <c r="AA96" i="42"/>
  <c r="Z96" i="42"/>
  <c r="Y96" i="42"/>
  <c r="X96" i="42"/>
  <c r="W96" i="42"/>
  <c r="V96" i="42"/>
  <c r="U96" i="42"/>
  <c r="T96" i="42"/>
  <c r="S96" i="42"/>
  <c r="R96" i="42"/>
  <c r="Q96" i="42"/>
  <c r="P96" i="42"/>
  <c r="O96" i="42"/>
  <c r="N96" i="42"/>
  <c r="M96" i="42"/>
  <c r="L96" i="42"/>
  <c r="K96" i="42"/>
  <c r="J96" i="42"/>
  <c r="I96" i="42"/>
  <c r="H96" i="42"/>
  <c r="G96" i="42"/>
  <c r="F96" i="42"/>
  <c r="E96" i="42"/>
  <c r="D96" i="42"/>
  <c r="AV95" i="42"/>
  <c r="AU95" i="42"/>
  <c r="AT95" i="42"/>
  <c r="AS95" i="42"/>
  <c r="AR95" i="42"/>
  <c r="AQ95" i="42"/>
  <c r="AP95" i="42"/>
  <c r="AO95" i="42"/>
  <c r="AN95" i="42"/>
  <c r="AM95" i="42"/>
  <c r="AL95" i="42"/>
  <c r="AK95" i="42"/>
  <c r="AJ95" i="42"/>
  <c r="AI95" i="42"/>
  <c r="AH95" i="42"/>
  <c r="AG95" i="42"/>
  <c r="AF95" i="42"/>
  <c r="AE95" i="42"/>
  <c r="AD95" i="42"/>
  <c r="AC95" i="42"/>
  <c r="AB95" i="42"/>
  <c r="AA95" i="42"/>
  <c r="Z95" i="42"/>
  <c r="Y95" i="42"/>
  <c r="X95" i="42"/>
  <c r="W95" i="42"/>
  <c r="V95" i="42"/>
  <c r="U95" i="42"/>
  <c r="T95" i="42"/>
  <c r="S95" i="42"/>
  <c r="R95" i="42"/>
  <c r="Q95" i="42"/>
  <c r="P95" i="42"/>
  <c r="O95" i="42"/>
  <c r="N95" i="42"/>
  <c r="M95" i="42"/>
  <c r="L95" i="42"/>
  <c r="K95" i="42"/>
  <c r="J95" i="42"/>
  <c r="I95" i="42"/>
  <c r="H95" i="42"/>
  <c r="G95" i="42"/>
  <c r="F95" i="42"/>
  <c r="E95" i="42"/>
  <c r="D95" i="42"/>
  <c r="AV94" i="42"/>
  <c r="AU94" i="42"/>
  <c r="AT94" i="42"/>
  <c r="AS94" i="42"/>
  <c r="AR94" i="42"/>
  <c r="AQ94" i="42"/>
  <c r="AP94" i="42"/>
  <c r="AO94" i="42"/>
  <c r="AN94" i="42"/>
  <c r="AM94" i="42"/>
  <c r="AL94" i="42"/>
  <c r="AK94" i="42"/>
  <c r="AJ94" i="42"/>
  <c r="AI94" i="42"/>
  <c r="AH94" i="42"/>
  <c r="AG94" i="42"/>
  <c r="AF94" i="42"/>
  <c r="AE94" i="42"/>
  <c r="AD94" i="42"/>
  <c r="AC94" i="42"/>
  <c r="AB94" i="42"/>
  <c r="AA94" i="42"/>
  <c r="Z94" i="42"/>
  <c r="Y94" i="42"/>
  <c r="X94" i="42"/>
  <c r="W94" i="42"/>
  <c r="V94" i="42"/>
  <c r="U94" i="42"/>
  <c r="T94" i="42"/>
  <c r="S94" i="42"/>
  <c r="R94" i="42"/>
  <c r="Q94" i="42"/>
  <c r="P94" i="42"/>
  <c r="O94" i="42"/>
  <c r="N94" i="42"/>
  <c r="M94" i="42"/>
  <c r="L94" i="42"/>
  <c r="K94" i="42"/>
  <c r="J94" i="42"/>
  <c r="I94" i="42"/>
  <c r="H94" i="42"/>
  <c r="G94" i="42"/>
  <c r="F94" i="42"/>
  <c r="E94" i="42"/>
  <c r="D94" i="42"/>
  <c r="AV93" i="42"/>
  <c r="AU93" i="42"/>
  <c r="AT93" i="42"/>
  <c r="AS93" i="42"/>
  <c r="AR93" i="42"/>
  <c r="AQ93" i="42"/>
  <c r="AP93" i="42"/>
  <c r="AO93" i="42"/>
  <c r="AN93" i="42"/>
  <c r="AM93" i="42"/>
  <c r="AL93" i="42"/>
  <c r="AK93" i="42"/>
  <c r="AJ93" i="42"/>
  <c r="AI93" i="42"/>
  <c r="AH93" i="42"/>
  <c r="AG93" i="42"/>
  <c r="AF93" i="42"/>
  <c r="AE93" i="42"/>
  <c r="AD93" i="42"/>
  <c r="AC93" i="42"/>
  <c r="AB93" i="42"/>
  <c r="AA93" i="42"/>
  <c r="Z93" i="42"/>
  <c r="Y93" i="42"/>
  <c r="X93" i="42"/>
  <c r="W93" i="42"/>
  <c r="V93" i="42"/>
  <c r="U93" i="42"/>
  <c r="T93" i="42"/>
  <c r="S93" i="42"/>
  <c r="R93" i="42"/>
  <c r="Q93" i="42"/>
  <c r="P93" i="42"/>
  <c r="O93" i="42"/>
  <c r="N93" i="42"/>
  <c r="M93" i="42"/>
  <c r="L93" i="42"/>
  <c r="K93" i="42"/>
  <c r="J93" i="42"/>
  <c r="I93" i="42"/>
  <c r="H93" i="42"/>
  <c r="G93" i="42"/>
  <c r="F93" i="42"/>
  <c r="E93" i="42"/>
  <c r="D93" i="42"/>
  <c r="AV92" i="42"/>
  <c r="AU92" i="42"/>
  <c r="AT92" i="42"/>
  <c r="AS92" i="42"/>
  <c r="AR92" i="42"/>
  <c r="AQ92" i="42"/>
  <c r="AP92" i="42"/>
  <c r="AO92" i="42"/>
  <c r="AN92" i="42"/>
  <c r="AM92" i="42"/>
  <c r="AL92" i="42"/>
  <c r="AK92" i="42"/>
  <c r="AJ92" i="42"/>
  <c r="AI92" i="42"/>
  <c r="AH92" i="42"/>
  <c r="AG92" i="42"/>
  <c r="AF92" i="42"/>
  <c r="AE92" i="42"/>
  <c r="AD92" i="42"/>
  <c r="AC92" i="42"/>
  <c r="AB92" i="42"/>
  <c r="AA92" i="42"/>
  <c r="Z92" i="42"/>
  <c r="Y92" i="42"/>
  <c r="X92" i="42"/>
  <c r="W92" i="42"/>
  <c r="V92" i="42"/>
  <c r="U92" i="42"/>
  <c r="T92" i="42"/>
  <c r="S92" i="42"/>
  <c r="R92" i="42"/>
  <c r="Q92" i="42"/>
  <c r="P92" i="42"/>
  <c r="O92" i="42"/>
  <c r="N92" i="42"/>
  <c r="M92" i="42"/>
  <c r="L92" i="42"/>
  <c r="K92" i="42"/>
  <c r="J92" i="42"/>
  <c r="I92" i="42"/>
  <c r="H92" i="42"/>
  <c r="G92" i="42"/>
  <c r="F92" i="42"/>
  <c r="E92" i="42"/>
  <c r="D92" i="42"/>
  <c r="AV91" i="42"/>
  <c r="AU91" i="42"/>
  <c r="AT91" i="42"/>
  <c r="AS91" i="42"/>
  <c r="AR91" i="42"/>
  <c r="AQ91" i="42"/>
  <c r="AP91" i="42"/>
  <c r="AO91" i="42"/>
  <c r="AN91" i="42"/>
  <c r="AM91" i="42"/>
  <c r="AL91" i="42"/>
  <c r="AK91" i="42"/>
  <c r="AJ91" i="42"/>
  <c r="AI91" i="42"/>
  <c r="AH91" i="42"/>
  <c r="AG91" i="42"/>
  <c r="AF91" i="42"/>
  <c r="AE91" i="42"/>
  <c r="AD91" i="42"/>
  <c r="AC91" i="42"/>
  <c r="AB91" i="42"/>
  <c r="AA91" i="42"/>
  <c r="Z91" i="42"/>
  <c r="Y91" i="42"/>
  <c r="X91" i="42"/>
  <c r="W91" i="42"/>
  <c r="V91" i="42"/>
  <c r="U91" i="42"/>
  <c r="T91" i="42"/>
  <c r="S91" i="42"/>
  <c r="R91" i="42"/>
  <c r="Q91" i="42"/>
  <c r="P91" i="42"/>
  <c r="O91" i="42"/>
  <c r="N91" i="42"/>
  <c r="M91" i="42"/>
  <c r="L91" i="42"/>
  <c r="K91" i="42"/>
  <c r="J91" i="42"/>
  <c r="I91" i="42"/>
  <c r="H91" i="42"/>
  <c r="G91" i="42"/>
  <c r="F91" i="42"/>
  <c r="E91" i="42"/>
  <c r="D91" i="42"/>
  <c r="AV90" i="42"/>
  <c r="AU90" i="42"/>
  <c r="AT90" i="42"/>
  <c r="AS90" i="42"/>
  <c r="AR90" i="42"/>
  <c r="AQ90" i="42"/>
  <c r="AP90" i="42"/>
  <c r="AO90" i="42"/>
  <c r="AN90" i="42"/>
  <c r="AM90" i="42"/>
  <c r="AL90" i="42"/>
  <c r="AK90" i="42"/>
  <c r="AJ90" i="42"/>
  <c r="AI90" i="42"/>
  <c r="AH90" i="42"/>
  <c r="AG90" i="42"/>
  <c r="AF90" i="42"/>
  <c r="AE90" i="42"/>
  <c r="AD90" i="42"/>
  <c r="AC90" i="42"/>
  <c r="AB90" i="42"/>
  <c r="AA90" i="42"/>
  <c r="Z90" i="42"/>
  <c r="Y90" i="42"/>
  <c r="X90" i="42"/>
  <c r="W90" i="42"/>
  <c r="V90" i="42"/>
  <c r="U90" i="42"/>
  <c r="T90" i="42"/>
  <c r="S90" i="42"/>
  <c r="R90" i="42"/>
  <c r="Q90" i="42"/>
  <c r="P90" i="42"/>
  <c r="O90" i="42"/>
  <c r="N90" i="42"/>
  <c r="M90" i="42"/>
  <c r="L90" i="42"/>
  <c r="K90" i="42"/>
  <c r="J90" i="42"/>
  <c r="I90" i="42"/>
  <c r="H90" i="42"/>
  <c r="G90" i="42"/>
  <c r="F90" i="42"/>
  <c r="E90" i="42"/>
  <c r="D90" i="42"/>
  <c r="AV89" i="42"/>
  <c r="AU89" i="42"/>
  <c r="AT89" i="42"/>
  <c r="AS89" i="42"/>
  <c r="AR89" i="42"/>
  <c r="AQ89" i="42"/>
  <c r="AP89" i="42"/>
  <c r="AO89" i="42"/>
  <c r="AN89" i="42"/>
  <c r="AM89" i="42"/>
  <c r="AL89" i="42"/>
  <c r="AK89" i="42"/>
  <c r="AJ89" i="42"/>
  <c r="AI89" i="42"/>
  <c r="AH89" i="42"/>
  <c r="AG89" i="42"/>
  <c r="AF89" i="42"/>
  <c r="AE89" i="42"/>
  <c r="AD89" i="42"/>
  <c r="AC89" i="42"/>
  <c r="AB89" i="42"/>
  <c r="AA89" i="42"/>
  <c r="Z89" i="42"/>
  <c r="Y89" i="42"/>
  <c r="X89" i="42"/>
  <c r="W89" i="42"/>
  <c r="V89" i="42"/>
  <c r="U89" i="42"/>
  <c r="T89" i="42"/>
  <c r="S89" i="42"/>
  <c r="R89" i="42"/>
  <c r="Q89" i="42"/>
  <c r="P89" i="42"/>
  <c r="O89" i="42"/>
  <c r="N89" i="42"/>
  <c r="M89" i="42"/>
  <c r="L89" i="42"/>
  <c r="K89" i="42"/>
  <c r="J89" i="42"/>
  <c r="I89" i="42"/>
  <c r="H89" i="42"/>
  <c r="G89" i="42"/>
  <c r="F89" i="42"/>
  <c r="E89" i="42"/>
  <c r="D89" i="42"/>
  <c r="AV88" i="42"/>
  <c r="AU88" i="42"/>
  <c r="AT88" i="42"/>
  <c r="AS88" i="42"/>
  <c r="AR88" i="42"/>
  <c r="AQ88" i="42"/>
  <c r="AP88" i="42"/>
  <c r="AO88" i="42"/>
  <c r="AN88" i="42"/>
  <c r="AM88" i="42"/>
  <c r="AL88" i="42"/>
  <c r="AK88" i="42"/>
  <c r="AJ88" i="42"/>
  <c r="AI88" i="42"/>
  <c r="AH88" i="42"/>
  <c r="AG88" i="42"/>
  <c r="AF88" i="42"/>
  <c r="AE88" i="42"/>
  <c r="AD88" i="42"/>
  <c r="AC88" i="42"/>
  <c r="AB88" i="42"/>
  <c r="AA88" i="42"/>
  <c r="Z88" i="42"/>
  <c r="Y88" i="42"/>
  <c r="X88" i="42"/>
  <c r="W88" i="42"/>
  <c r="V88" i="42"/>
  <c r="U88" i="42"/>
  <c r="T88" i="42"/>
  <c r="S88" i="42"/>
  <c r="R88" i="42"/>
  <c r="Q88" i="42"/>
  <c r="P88" i="42"/>
  <c r="O88" i="42"/>
  <c r="N88" i="42"/>
  <c r="M88" i="42"/>
  <c r="L88" i="42"/>
  <c r="K88" i="42"/>
  <c r="J88" i="42"/>
  <c r="I88" i="42"/>
  <c r="H88" i="42"/>
  <c r="G88" i="42"/>
  <c r="F88" i="42"/>
  <c r="E88" i="42"/>
  <c r="D88" i="42"/>
  <c r="AV87" i="42"/>
  <c r="AU87" i="42"/>
  <c r="AT87" i="42"/>
  <c r="AS87" i="42"/>
  <c r="AR87" i="42"/>
  <c r="AQ87" i="42"/>
  <c r="AP87" i="42"/>
  <c r="AO87" i="42"/>
  <c r="AN87" i="42"/>
  <c r="AM87" i="42"/>
  <c r="AL87" i="42"/>
  <c r="AK87" i="42"/>
  <c r="AJ87" i="42"/>
  <c r="AI87" i="42"/>
  <c r="AH87" i="42"/>
  <c r="AG87" i="42"/>
  <c r="AF87" i="42"/>
  <c r="AE87" i="42"/>
  <c r="AD87" i="42"/>
  <c r="AC87" i="42"/>
  <c r="AB87" i="42"/>
  <c r="AA87" i="42"/>
  <c r="Z87" i="42"/>
  <c r="Y87" i="42"/>
  <c r="X87" i="42"/>
  <c r="W87" i="42"/>
  <c r="V87" i="42"/>
  <c r="U87" i="42"/>
  <c r="T87" i="42"/>
  <c r="S87" i="42"/>
  <c r="R87" i="42"/>
  <c r="Q87" i="42"/>
  <c r="P87" i="42"/>
  <c r="O87" i="42"/>
  <c r="N87" i="42"/>
  <c r="M87" i="42"/>
  <c r="L87" i="42"/>
  <c r="K87" i="42"/>
  <c r="J87" i="42"/>
  <c r="I87" i="42"/>
  <c r="H87" i="42"/>
  <c r="G87" i="42"/>
  <c r="F87" i="42"/>
  <c r="E87" i="42"/>
  <c r="D87" i="42"/>
  <c r="AV86" i="42"/>
  <c r="AU86" i="42"/>
  <c r="AT86" i="42"/>
  <c r="AS86" i="42"/>
  <c r="AR86" i="42"/>
  <c r="AQ86" i="42"/>
  <c r="AP86" i="42"/>
  <c r="AO86" i="42"/>
  <c r="AN86" i="42"/>
  <c r="AM86" i="42"/>
  <c r="AL86" i="42"/>
  <c r="AK86" i="42"/>
  <c r="AJ86" i="42"/>
  <c r="AI86" i="42"/>
  <c r="AH86" i="42"/>
  <c r="AG86" i="42"/>
  <c r="AF86" i="42"/>
  <c r="AE86" i="42"/>
  <c r="AD86" i="42"/>
  <c r="AC86" i="42"/>
  <c r="AB86" i="42"/>
  <c r="AA86" i="42"/>
  <c r="Z86" i="42"/>
  <c r="Y86" i="42"/>
  <c r="X86" i="42"/>
  <c r="W86" i="42"/>
  <c r="V86" i="42"/>
  <c r="U86" i="42"/>
  <c r="T86" i="42"/>
  <c r="S86" i="42"/>
  <c r="R86" i="42"/>
  <c r="Q86" i="42"/>
  <c r="P86" i="42"/>
  <c r="O86" i="42"/>
  <c r="N86" i="42"/>
  <c r="M86" i="42"/>
  <c r="L86" i="42"/>
  <c r="K86" i="42"/>
  <c r="J86" i="42"/>
  <c r="I86" i="42"/>
  <c r="H86" i="42"/>
  <c r="G86" i="42"/>
  <c r="F86" i="42"/>
  <c r="E86" i="42"/>
  <c r="D86" i="42"/>
  <c r="AV85" i="42"/>
  <c r="AU85" i="42"/>
  <c r="AT85" i="42"/>
  <c r="AS85" i="42"/>
  <c r="AR85" i="42"/>
  <c r="AQ85" i="42"/>
  <c r="AP85" i="42"/>
  <c r="AO85" i="42"/>
  <c r="AN85" i="42"/>
  <c r="AM85" i="42"/>
  <c r="AL85" i="42"/>
  <c r="AK85" i="42"/>
  <c r="AJ85" i="42"/>
  <c r="AI85" i="42"/>
  <c r="AH85" i="42"/>
  <c r="AG85" i="42"/>
  <c r="AF85" i="42"/>
  <c r="AE85" i="42"/>
  <c r="AD85" i="42"/>
  <c r="AC85" i="42"/>
  <c r="AB85" i="42"/>
  <c r="AA85" i="42"/>
  <c r="Z85" i="42"/>
  <c r="Y85" i="42"/>
  <c r="X85" i="42"/>
  <c r="W85" i="42"/>
  <c r="V85" i="42"/>
  <c r="U85" i="42"/>
  <c r="T85" i="42"/>
  <c r="S85" i="42"/>
  <c r="R85" i="42"/>
  <c r="Q85" i="42"/>
  <c r="P85" i="42"/>
  <c r="O85" i="42"/>
  <c r="N85" i="42"/>
  <c r="M85" i="42"/>
  <c r="L85" i="42"/>
  <c r="K85" i="42"/>
  <c r="J85" i="42"/>
  <c r="I85" i="42"/>
  <c r="H85" i="42"/>
  <c r="G85" i="42"/>
  <c r="F85" i="42"/>
  <c r="E85" i="42"/>
  <c r="D85" i="42"/>
  <c r="AV84" i="42"/>
  <c r="AU84" i="42"/>
  <c r="AT84" i="42"/>
  <c r="AS84" i="42"/>
  <c r="AR84" i="42"/>
  <c r="AQ84" i="42"/>
  <c r="AP84" i="42"/>
  <c r="AO84" i="42"/>
  <c r="AN84" i="42"/>
  <c r="AM84" i="42"/>
  <c r="AL84" i="42"/>
  <c r="AK84" i="42"/>
  <c r="AJ84" i="42"/>
  <c r="AI84" i="42"/>
  <c r="AH84" i="42"/>
  <c r="AG84" i="42"/>
  <c r="AF84" i="42"/>
  <c r="AE84" i="42"/>
  <c r="AD84" i="42"/>
  <c r="AC84" i="42"/>
  <c r="AB84" i="42"/>
  <c r="AA84" i="42"/>
  <c r="Z84" i="42"/>
  <c r="Y84" i="42"/>
  <c r="X84" i="42"/>
  <c r="W84" i="42"/>
  <c r="V84" i="42"/>
  <c r="U84" i="42"/>
  <c r="T84" i="42"/>
  <c r="S84" i="42"/>
  <c r="R84" i="42"/>
  <c r="Q84" i="42"/>
  <c r="P84" i="42"/>
  <c r="O84" i="42"/>
  <c r="N84" i="42"/>
  <c r="M84" i="42"/>
  <c r="L84" i="42"/>
  <c r="K84" i="42"/>
  <c r="J84" i="42"/>
  <c r="I84" i="42"/>
  <c r="H84" i="42"/>
  <c r="G84" i="42"/>
  <c r="F84" i="42"/>
  <c r="E84" i="42"/>
  <c r="D84" i="42"/>
  <c r="AV83" i="42"/>
  <c r="AU83" i="42"/>
  <c r="AT83" i="42"/>
  <c r="AS83" i="42"/>
  <c r="AR83" i="42"/>
  <c r="AQ83" i="42"/>
  <c r="AP83" i="42"/>
  <c r="AO83" i="42"/>
  <c r="AN83" i="42"/>
  <c r="AM83" i="42"/>
  <c r="AL83" i="42"/>
  <c r="AK83" i="42"/>
  <c r="AJ83" i="42"/>
  <c r="AI83" i="42"/>
  <c r="AH83" i="42"/>
  <c r="AG83" i="42"/>
  <c r="AF83" i="42"/>
  <c r="AE83" i="42"/>
  <c r="AD83" i="42"/>
  <c r="AC83" i="42"/>
  <c r="AB83" i="42"/>
  <c r="AA83" i="42"/>
  <c r="Z83" i="42"/>
  <c r="Y83" i="42"/>
  <c r="X83" i="42"/>
  <c r="W83" i="42"/>
  <c r="V83" i="42"/>
  <c r="U83" i="42"/>
  <c r="T83" i="42"/>
  <c r="S83" i="42"/>
  <c r="R83" i="42"/>
  <c r="Q83" i="42"/>
  <c r="P83" i="42"/>
  <c r="O83" i="42"/>
  <c r="N83" i="42"/>
  <c r="M83" i="42"/>
  <c r="L83" i="42"/>
  <c r="K83" i="42"/>
  <c r="J83" i="42"/>
  <c r="I83" i="42"/>
  <c r="H83" i="42"/>
  <c r="G83" i="42"/>
  <c r="F83" i="42"/>
  <c r="E83" i="42"/>
  <c r="D83" i="42"/>
  <c r="AV82" i="42"/>
  <c r="AU82" i="42"/>
  <c r="AT82" i="42"/>
  <c r="AS82" i="42"/>
  <c r="AR82" i="42"/>
  <c r="AQ82" i="42"/>
  <c r="AP82" i="42"/>
  <c r="AO82" i="42"/>
  <c r="AN82" i="42"/>
  <c r="AM82" i="42"/>
  <c r="AL82" i="42"/>
  <c r="AK82" i="42"/>
  <c r="AJ82" i="42"/>
  <c r="AI82" i="42"/>
  <c r="AH82" i="42"/>
  <c r="AG82" i="42"/>
  <c r="AF82" i="42"/>
  <c r="AE82" i="42"/>
  <c r="AD82" i="42"/>
  <c r="AC82" i="42"/>
  <c r="AB82" i="42"/>
  <c r="AA82" i="42"/>
  <c r="Z82" i="42"/>
  <c r="Y82" i="42"/>
  <c r="X82" i="42"/>
  <c r="W82" i="42"/>
  <c r="V82" i="42"/>
  <c r="U82" i="42"/>
  <c r="T82" i="42"/>
  <c r="S82" i="42"/>
  <c r="R82" i="42"/>
  <c r="Q82" i="42"/>
  <c r="P82" i="42"/>
  <c r="O82" i="42"/>
  <c r="N82" i="42"/>
  <c r="M82" i="42"/>
  <c r="L82" i="42"/>
  <c r="K82" i="42"/>
  <c r="J82" i="42"/>
  <c r="I82" i="42"/>
  <c r="H82" i="42"/>
  <c r="G82" i="42"/>
  <c r="F82" i="42"/>
  <c r="E82" i="42"/>
  <c r="D82" i="42"/>
  <c r="AV81" i="42"/>
  <c r="AU81" i="42"/>
  <c r="AT81" i="42"/>
  <c r="AS81" i="42"/>
  <c r="AR81" i="42"/>
  <c r="AQ81" i="42"/>
  <c r="AP81" i="42"/>
  <c r="AO81" i="42"/>
  <c r="AN81" i="42"/>
  <c r="AM81" i="42"/>
  <c r="AL81" i="42"/>
  <c r="AK81" i="42"/>
  <c r="AJ81" i="42"/>
  <c r="AI81" i="42"/>
  <c r="AH81" i="42"/>
  <c r="AG81" i="42"/>
  <c r="AF81" i="42"/>
  <c r="AE81" i="42"/>
  <c r="AD81" i="42"/>
  <c r="AC81" i="42"/>
  <c r="AB81" i="42"/>
  <c r="AA81" i="42"/>
  <c r="Z81" i="42"/>
  <c r="Y81" i="42"/>
  <c r="X81" i="42"/>
  <c r="W81" i="42"/>
  <c r="V81" i="42"/>
  <c r="U81" i="42"/>
  <c r="T81" i="42"/>
  <c r="S81" i="42"/>
  <c r="R81" i="42"/>
  <c r="Q81" i="42"/>
  <c r="P81" i="42"/>
  <c r="O81" i="42"/>
  <c r="N81" i="42"/>
  <c r="M81" i="42"/>
  <c r="L81" i="42"/>
  <c r="K81" i="42"/>
  <c r="J81" i="42"/>
  <c r="I81" i="42"/>
  <c r="H81" i="42"/>
  <c r="G81" i="42"/>
  <c r="F81" i="42"/>
  <c r="E81" i="42"/>
  <c r="D81" i="42"/>
  <c r="AV80" i="42"/>
  <c r="AU80" i="42"/>
  <c r="AT80" i="42"/>
  <c r="AS80" i="42"/>
  <c r="AR80" i="42"/>
  <c r="AQ80" i="42"/>
  <c r="AP80" i="42"/>
  <c r="AO80" i="42"/>
  <c r="AN80" i="42"/>
  <c r="AM80" i="42"/>
  <c r="AL80" i="42"/>
  <c r="AK80" i="42"/>
  <c r="AJ80" i="42"/>
  <c r="AI80" i="42"/>
  <c r="AH80" i="42"/>
  <c r="AG80" i="42"/>
  <c r="AF80" i="42"/>
  <c r="AE80" i="42"/>
  <c r="AD80" i="42"/>
  <c r="AC80" i="42"/>
  <c r="AB80" i="42"/>
  <c r="AA80" i="42"/>
  <c r="Z80" i="42"/>
  <c r="Y80" i="42"/>
  <c r="X80" i="42"/>
  <c r="W80" i="42"/>
  <c r="V80" i="42"/>
  <c r="U80" i="42"/>
  <c r="T80" i="42"/>
  <c r="S80" i="42"/>
  <c r="R80" i="42"/>
  <c r="Q80" i="42"/>
  <c r="P80" i="42"/>
  <c r="O80" i="42"/>
  <c r="N80" i="42"/>
  <c r="M80" i="42"/>
  <c r="L80" i="42"/>
  <c r="K80" i="42"/>
  <c r="J80" i="42"/>
  <c r="I80" i="42"/>
  <c r="H80" i="42"/>
  <c r="G80" i="42"/>
  <c r="F80" i="42"/>
  <c r="E80" i="42"/>
  <c r="D80" i="42"/>
  <c r="AV79" i="42"/>
  <c r="AU79" i="42"/>
  <c r="AT79" i="42"/>
  <c r="AS79" i="42"/>
  <c r="AR79" i="42"/>
  <c r="AQ79" i="42"/>
  <c r="AP79" i="42"/>
  <c r="AO79" i="42"/>
  <c r="AN79" i="42"/>
  <c r="AM79" i="42"/>
  <c r="AL79" i="42"/>
  <c r="AK79" i="42"/>
  <c r="AJ79" i="42"/>
  <c r="AI79" i="42"/>
  <c r="AH79" i="42"/>
  <c r="AG79" i="42"/>
  <c r="AF79" i="42"/>
  <c r="AE79" i="42"/>
  <c r="AD79" i="42"/>
  <c r="AC79" i="42"/>
  <c r="AB79" i="42"/>
  <c r="AA79" i="42"/>
  <c r="Z79" i="42"/>
  <c r="Y79" i="42"/>
  <c r="X79" i="42"/>
  <c r="W79" i="42"/>
  <c r="V79" i="42"/>
  <c r="U79" i="42"/>
  <c r="T79" i="42"/>
  <c r="S79" i="42"/>
  <c r="R79" i="42"/>
  <c r="Q79" i="42"/>
  <c r="P79" i="42"/>
  <c r="O79" i="42"/>
  <c r="N79" i="42"/>
  <c r="M79" i="42"/>
  <c r="L79" i="42"/>
  <c r="K79" i="42"/>
  <c r="J79" i="42"/>
  <c r="I79" i="42"/>
  <c r="H79" i="42"/>
  <c r="G79" i="42"/>
  <c r="F79" i="42"/>
  <c r="E79" i="42"/>
  <c r="D79" i="42"/>
  <c r="AV78" i="42"/>
  <c r="AU78" i="42"/>
  <c r="AT78" i="42"/>
  <c r="AS78" i="42"/>
  <c r="AR78" i="42"/>
  <c r="AQ78" i="42"/>
  <c r="AP78" i="42"/>
  <c r="AO78" i="42"/>
  <c r="AN78" i="42"/>
  <c r="AM78" i="42"/>
  <c r="AL78" i="42"/>
  <c r="AK78" i="42"/>
  <c r="AJ78" i="42"/>
  <c r="AI78" i="42"/>
  <c r="AH78" i="42"/>
  <c r="AG78" i="42"/>
  <c r="AF78" i="42"/>
  <c r="AE78" i="42"/>
  <c r="AD78" i="42"/>
  <c r="AC78" i="42"/>
  <c r="AB78" i="42"/>
  <c r="AA78" i="42"/>
  <c r="Z78" i="42"/>
  <c r="Y78" i="42"/>
  <c r="X78" i="42"/>
  <c r="W78" i="42"/>
  <c r="V78" i="42"/>
  <c r="U78" i="42"/>
  <c r="T78" i="42"/>
  <c r="S78" i="42"/>
  <c r="R78" i="42"/>
  <c r="Q78" i="42"/>
  <c r="P78" i="42"/>
  <c r="O78" i="42"/>
  <c r="N78" i="42"/>
  <c r="M78" i="42"/>
  <c r="L78" i="42"/>
  <c r="K78" i="42"/>
  <c r="J78" i="42"/>
  <c r="I78" i="42"/>
  <c r="H78" i="42"/>
  <c r="G78" i="42"/>
  <c r="F78" i="42"/>
  <c r="E78" i="42"/>
  <c r="D78" i="42"/>
  <c r="AV77" i="42"/>
  <c r="AU77" i="42"/>
  <c r="AT77" i="42"/>
  <c r="AS77" i="42"/>
  <c r="AR77" i="42"/>
  <c r="AQ77" i="42"/>
  <c r="AP77" i="42"/>
  <c r="AO77" i="42"/>
  <c r="AN77" i="42"/>
  <c r="AM77" i="42"/>
  <c r="AL77" i="42"/>
  <c r="AK77" i="42"/>
  <c r="AJ77" i="42"/>
  <c r="AI77" i="42"/>
  <c r="AH77" i="42"/>
  <c r="AG77" i="42"/>
  <c r="AF77" i="42"/>
  <c r="AE77" i="42"/>
  <c r="AD77" i="42"/>
  <c r="AC77" i="42"/>
  <c r="AB77" i="42"/>
  <c r="AA77" i="42"/>
  <c r="Z77" i="42"/>
  <c r="Y77" i="42"/>
  <c r="X77" i="42"/>
  <c r="W77" i="42"/>
  <c r="V77" i="42"/>
  <c r="U77" i="42"/>
  <c r="T77" i="42"/>
  <c r="S77" i="42"/>
  <c r="R77" i="42"/>
  <c r="Q77" i="42"/>
  <c r="P77" i="42"/>
  <c r="O77" i="42"/>
  <c r="N77" i="42"/>
  <c r="M77" i="42"/>
  <c r="L77" i="42"/>
  <c r="K77" i="42"/>
  <c r="J77" i="42"/>
  <c r="I77" i="42"/>
  <c r="H77" i="42"/>
  <c r="G77" i="42"/>
  <c r="F77" i="42"/>
  <c r="E77" i="42"/>
  <c r="D77" i="42"/>
  <c r="AV76" i="42"/>
  <c r="AU76" i="42"/>
  <c r="AT76" i="42"/>
  <c r="AS76" i="42"/>
  <c r="AR76" i="42"/>
  <c r="AQ76" i="42"/>
  <c r="AP76" i="42"/>
  <c r="AO76" i="42"/>
  <c r="AN76" i="42"/>
  <c r="AM76" i="42"/>
  <c r="AL76" i="42"/>
  <c r="AK76" i="42"/>
  <c r="AJ76" i="42"/>
  <c r="AI76" i="42"/>
  <c r="AH76" i="42"/>
  <c r="AG76" i="42"/>
  <c r="AF76" i="42"/>
  <c r="AE76" i="42"/>
  <c r="AD76" i="42"/>
  <c r="AC76" i="42"/>
  <c r="AB76" i="42"/>
  <c r="AA76" i="42"/>
  <c r="Z76" i="42"/>
  <c r="Y76" i="42"/>
  <c r="X76" i="42"/>
  <c r="W76" i="42"/>
  <c r="V76" i="42"/>
  <c r="U76" i="42"/>
  <c r="T76" i="42"/>
  <c r="S76" i="42"/>
  <c r="R76" i="42"/>
  <c r="Q76" i="42"/>
  <c r="P76" i="42"/>
  <c r="O76" i="42"/>
  <c r="N76" i="42"/>
  <c r="M76" i="42"/>
  <c r="L76" i="42"/>
  <c r="K76" i="42"/>
  <c r="J76" i="42"/>
  <c r="I76" i="42"/>
  <c r="H76" i="42"/>
  <c r="G76" i="42"/>
  <c r="F76" i="42"/>
  <c r="E76" i="42"/>
  <c r="D76" i="42"/>
  <c r="AV75" i="42"/>
  <c r="AU75" i="42"/>
  <c r="AT75" i="42"/>
  <c r="AS75" i="42"/>
  <c r="AR75" i="42"/>
  <c r="AQ75" i="42"/>
  <c r="AP75" i="42"/>
  <c r="AO75" i="42"/>
  <c r="AN75" i="42"/>
  <c r="AM75" i="42"/>
  <c r="AL75" i="42"/>
  <c r="AK75" i="42"/>
  <c r="AJ75" i="42"/>
  <c r="AI75" i="42"/>
  <c r="AH75" i="42"/>
  <c r="AG75" i="42"/>
  <c r="AF75" i="42"/>
  <c r="AE75" i="42"/>
  <c r="AD75" i="42"/>
  <c r="AC75" i="42"/>
  <c r="AB75" i="42"/>
  <c r="AA75" i="42"/>
  <c r="Z75" i="42"/>
  <c r="Y75" i="42"/>
  <c r="X75" i="42"/>
  <c r="W75" i="42"/>
  <c r="V75" i="42"/>
  <c r="U75" i="42"/>
  <c r="T75" i="42"/>
  <c r="S75" i="42"/>
  <c r="R75" i="42"/>
  <c r="Q75" i="42"/>
  <c r="P75" i="42"/>
  <c r="O75" i="42"/>
  <c r="N75" i="42"/>
  <c r="M75" i="42"/>
  <c r="L75" i="42"/>
  <c r="K75" i="42"/>
  <c r="J75" i="42"/>
  <c r="I75" i="42"/>
  <c r="H75" i="42"/>
  <c r="G75" i="42"/>
  <c r="F75" i="42"/>
  <c r="E75" i="42"/>
  <c r="D75" i="42"/>
  <c r="AV74" i="42"/>
  <c r="AU74" i="42"/>
  <c r="AT74" i="42"/>
  <c r="AS74" i="42"/>
  <c r="AR74" i="42"/>
  <c r="AQ74" i="42"/>
  <c r="AP74" i="42"/>
  <c r="AO74" i="42"/>
  <c r="AN74" i="42"/>
  <c r="AM74" i="42"/>
  <c r="AL74" i="42"/>
  <c r="AK74" i="42"/>
  <c r="AJ74" i="42"/>
  <c r="AI74" i="42"/>
  <c r="AH74" i="42"/>
  <c r="AG74" i="42"/>
  <c r="AF74" i="42"/>
  <c r="AE74" i="42"/>
  <c r="AD74" i="42"/>
  <c r="AC74" i="42"/>
  <c r="AB74" i="42"/>
  <c r="AA74" i="42"/>
  <c r="Z74" i="42"/>
  <c r="Y74" i="42"/>
  <c r="X74" i="42"/>
  <c r="W74" i="42"/>
  <c r="V74" i="42"/>
  <c r="U74" i="42"/>
  <c r="T74" i="42"/>
  <c r="S74" i="42"/>
  <c r="R74" i="42"/>
  <c r="Q74" i="42"/>
  <c r="P74" i="42"/>
  <c r="O74" i="42"/>
  <c r="N74" i="42"/>
  <c r="M74" i="42"/>
  <c r="L74" i="42"/>
  <c r="K74" i="42"/>
  <c r="J74" i="42"/>
  <c r="I74" i="42"/>
  <c r="H74" i="42"/>
  <c r="G74" i="42"/>
  <c r="F74" i="42"/>
  <c r="E74" i="42"/>
  <c r="D74" i="42"/>
  <c r="S72" i="42"/>
  <c r="R72" i="42"/>
  <c r="Q72" i="42"/>
  <c r="P72" i="42"/>
  <c r="O72" i="42"/>
  <c r="N72" i="42"/>
  <c r="M72" i="42"/>
  <c r="L72" i="42"/>
  <c r="K72" i="42"/>
  <c r="J72" i="42"/>
  <c r="I72" i="42"/>
  <c r="H72" i="42"/>
  <c r="G72" i="42"/>
  <c r="F72" i="42"/>
  <c r="E72" i="42"/>
  <c r="D72" i="42"/>
  <c r="S71" i="42"/>
  <c r="R71" i="42"/>
  <c r="Q71" i="42"/>
  <c r="P71" i="42"/>
  <c r="O71" i="42"/>
  <c r="N71" i="42"/>
  <c r="M71" i="42"/>
  <c r="L71" i="42"/>
  <c r="K71" i="42"/>
  <c r="J71" i="42"/>
  <c r="I71" i="42"/>
  <c r="H71" i="42"/>
  <c r="G71" i="42"/>
  <c r="F71" i="42"/>
  <c r="E71" i="42"/>
  <c r="D71" i="42"/>
  <c r="S70" i="42"/>
  <c r="R70" i="42"/>
  <c r="Q70" i="42"/>
  <c r="P70" i="42"/>
  <c r="O70" i="42"/>
  <c r="N70" i="42"/>
  <c r="M70" i="42"/>
  <c r="L70" i="42"/>
  <c r="K70" i="42"/>
  <c r="J70" i="42"/>
  <c r="I70" i="42"/>
  <c r="H70" i="42"/>
  <c r="G70" i="42"/>
  <c r="F70" i="42"/>
  <c r="E70" i="42"/>
  <c r="D70" i="42"/>
  <c r="AV69" i="42"/>
  <c r="AU69" i="42"/>
  <c r="AT69" i="42"/>
  <c r="AS69" i="42"/>
  <c r="AR69" i="42"/>
  <c r="AQ69" i="42"/>
  <c r="AP69" i="42"/>
  <c r="AO69" i="42"/>
  <c r="AN69" i="42"/>
  <c r="AM69" i="42"/>
  <c r="AL69" i="42"/>
  <c r="AK69" i="42"/>
  <c r="AJ69" i="42"/>
  <c r="AI69" i="42"/>
  <c r="AH69" i="42"/>
  <c r="AG69" i="42"/>
  <c r="AF69" i="42"/>
  <c r="AE69" i="42"/>
  <c r="AD69" i="42"/>
  <c r="AC69" i="42"/>
  <c r="AB69" i="42"/>
  <c r="AA69" i="42"/>
  <c r="Z69" i="42"/>
  <c r="Y69" i="42"/>
  <c r="X69" i="42"/>
  <c r="W69" i="42"/>
  <c r="V69" i="42"/>
  <c r="U69" i="42"/>
  <c r="T69" i="42"/>
  <c r="S69" i="42"/>
  <c r="R69" i="42"/>
  <c r="Q69" i="42"/>
  <c r="P69" i="42"/>
  <c r="O69" i="42"/>
  <c r="N69" i="42"/>
  <c r="M69" i="42"/>
  <c r="L69" i="42"/>
  <c r="K69" i="42"/>
  <c r="J69" i="42"/>
  <c r="I69" i="42"/>
  <c r="H69" i="42"/>
  <c r="G69" i="42"/>
  <c r="F69" i="42"/>
  <c r="E69" i="42"/>
  <c r="D69" i="42"/>
  <c r="AU68" i="42"/>
  <c r="AT68" i="42"/>
  <c r="AP68" i="42"/>
  <c r="AO68" i="42"/>
  <c r="AK68" i="42"/>
  <c r="AJ68" i="42"/>
  <c r="AF68" i="42"/>
  <c r="AE68" i="42"/>
  <c r="AD68" i="42"/>
  <c r="AC68" i="42"/>
  <c r="AA68" i="42"/>
  <c r="Z68" i="42"/>
  <c r="Y68" i="42"/>
  <c r="X68" i="42"/>
  <c r="W68" i="42"/>
  <c r="V68" i="42"/>
  <c r="U68" i="42"/>
  <c r="T68" i="42"/>
  <c r="S68" i="42"/>
  <c r="R68" i="42"/>
  <c r="Q68" i="42"/>
  <c r="P68" i="42"/>
  <c r="O68" i="42"/>
  <c r="N68" i="42"/>
  <c r="M68" i="42"/>
  <c r="L68" i="42"/>
  <c r="K68" i="42"/>
  <c r="J68" i="42"/>
  <c r="I68" i="42"/>
  <c r="H68" i="42"/>
  <c r="G68" i="42"/>
  <c r="F68" i="42"/>
  <c r="E68" i="42"/>
  <c r="D68" i="42"/>
  <c r="W67" i="42"/>
  <c r="V67" i="42"/>
  <c r="U67" i="42"/>
  <c r="T67" i="42"/>
  <c r="S67" i="42"/>
  <c r="R67" i="42"/>
  <c r="Q67" i="42"/>
  <c r="P67" i="42"/>
  <c r="O67" i="42"/>
  <c r="N67" i="42"/>
  <c r="M67" i="42"/>
  <c r="L67" i="42"/>
  <c r="K67" i="42"/>
  <c r="J67" i="42"/>
  <c r="I67" i="42"/>
  <c r="H67" i="42"/>
  <c r="G67" i="42"/>
  <c r="F67" i="42"/>
  <c r="E67" i="42"/>
  <c r="D67" i="42"/>
  <c r="U66" i="42"/>
  <c r="T66" i="42"/>
  <c r="S66" i="42"/>
  <c r="R66" i="42"/>
  <c r="Q66" i="42"/>
  <c r="P66" i="42"/>
  <c r="O66" i="42"/>
  <c r="N66" i="42"/>
  <c r="M66" i="42"/>
  <c r="L66" i="42"/>
  <c r="K66" i="42"/>
  <c r="J66" i="42"/>
  <c r="I66" i="42"/>
  <c r="H66" i="42"/>
  <c r="G66" i="42"/>
  <c r="F66" i="42"/>
  <c r="E66" i="42"/>
  <c r="D66" i="42"/>
  <c r="AU65" i="42"/>
  <c r="AT65" i="42"/>
  <c r="AS65" i="42"/>
  <c r="AR65" i="42"/>
  <c r="AP65" i="42"/>
  <c r="AO65" i="42"/>
  <c r="AN65" i="42"/>
  <c r="AM65" i="42"/>
  <c r="AK65" i="42"/>
  <c r="AJ65" i="42"/>
  <c r="AI65" i="42"/>
  <c r="AH65" i="42"/>
  <c r="AF65" i="42"/>
  <c r="AE65" i="42"/>
  <c r="AD65" i="42"/>
  <c r="AC65" i="42"/>
  <c r="AA65" i="42"/>
  <c r="Z65" i="42"/>
  <c r="Y65" i="42"/>
  <c r="X65" i="42"/>
  <c r="W65" i="42"/>
  <c r="V65" i="42"/>
  <c r="U65" i="42"/>
  <c r="T65" i="42"/>
  <c r="S65" i="42"/>
  <c r="R65" i="42"/>
  <c r="Q65" i="42"/>
  <c r="P65" i="42"/>
  <c r="O65" i="42"/>
  <c r="N65" i="42"/>
  <c r="M65" i="42"/>
  <c r="L65" i="42"/>
  <c r="K65" i="42"/>
  <c r="J65" i="42"/>
  <c r="I65" i="42"/>
  <c r="H65" i="42"/>
  <c r="G65" i="42"/>
  <c r="F65" i="42"/>
  <c r="E65" i="42"/>
  <c r="D65" i="42"/>
  <c r="W64" i="42"/>
  <c r="V64" i="42"/>
  <c r="U64" i="42"/>
  <c r="T64" i="42"/>
  <c r="S64" i="42"/>
  <c r="R64" i="42"/>
  <c r="Q64" i="42"/>
  <c r="P64" i="42"/>
  <c r="O64" i="42"/>
  <c r="N64" i="42"/>
  <c r="M64" i="42"/>
  <c r="L64" i="42"/>
  <c r="K64" i="42"/>
  <c r="J64" i="42"/>
  <c r="I64" i="42"/>
  <c r="H64" i="42"/>
  <c r="G64" i="42"/>
  <c r="F64" i="42"/>
  <c r="E64" i="42"/>
  <c r="D64" i="42"/>
  <c r="AA63" i="42"/>
  <c r="Z63" i="42"/>
  <c r="Y63" i="42"/>
  <c r="X63" i="42"/>
  <c r="W63" i="42"/>
  <c r="V63" i="42"/>
  <c r="U63" i="42"/>
  <c r="T63" i="42"/>
  <c r="S63" i="42"/>
  <c r="R63" i="42"/>
  <c r="Q63" i="42"/>
  <c r="P63" i="42"/>
  <c r="O63" i="42"/>
  <c r="N63" i="42"/>
  <c r="M63" i="42"/>
  <c r="L63" i="42"/>
  <c r="K63" i="42"/>
  <c r="J63" i="42"/>
  <c r="I63" i="42"/>
  <c r="H63" i="42"/>
  <c r="G63" i="42"/>
  <c r="F63" i="42"/>
  <c r="E63" i="42"/>
  <c r="D63" i="42"/>
  <c r="W62" i="42"/>
  <c r="V62" i="42"/>
  <c r="U62" i="42"/>
  <c r="T62" i="42"/>
  <c r="S62" i="42"/>
  <c r="R62" i="42"/>
  <c r="Q62" i="42"/>
  <c r="P62" i="42"/>
  <c r="O62" i="42"/>
  <c r="N62" i="42"/>
  <c r="M62" i="42"/>
  <c r="L62" i="42"/>
  <c r="K62" i="42"/>
  <c r="J62" i="42"/>
  <c r="I62" i="42"/>
  <c r="H62" i="42"/>
  <c r="G62" i="42"/>
  <c r="F62" i="42"/>
  <c r="E62" i="42"/>
  <c r="D62" i="42"/>
  <c r="AA61" i="42"/>
  <c r="Z61" i="42"/>
  <c r="Y61" i="42"/>
  <c r="X61" i="42"/>
  <c r="W61" i="42"/>
  <c r="V61" i="42"/>
  <c r="U61" i="42"/>
  <c r="T61" i="42"/>
  <c r="S61" i="42"/>
  <c r="R61" i="42"/>
  <c r="Q61" i="42"/>
  <c r="P61" i="42"/>
  <c r="O61" i="42"/>
  <c r="N61" i="42"/>
  <c r="M61" i="42"/>
  <c r="L61" i="42"/>
  <c r="K61" i="42"/>
  <c r="J61" i="42"/>
  <c r="I61" i="42"/>
  <c r="H61" i="42"/>
  <c r="G61" i="42"/>
  <c r="F61" i="42"/>
  <c r="E61" i="42"/>
  <c r="D61" i="42"/>
  <c r="W60" i="42"/>
  <c r="V60" i="42"/>
  <c r="U60" i="42"/>
  <c r="T60" i="42"/>
  <c r="S60" i="42"/>
  <c r="R60" i="42"/>
  <c r="Q60" i="42"/>
  <c r="P60" i="42"/>
  <c r="O60" i="42"/>
  <c r="N60" i="42"/>
  <c r="M60" i="42"/>
  <c r="L60" i="42"/>
  <c r="K60" i="42"/>
  <c r="J60" i="42"/>
  <c r="I60" i="42"/>
  <c r="H60" i="42"/>
  <c r="G60" i="42"/>
  <c r="F60" i="42"/>
  <c r="E60" i="42"/>
  <c r="D60" i="42"/>
  <c r="W59" i="42"/>
  <c r="V59" i="42"/>
  <c r="U59" i="42"/>
  <c r="T59" i="42"/>
  <c r="S59" i="42"/>
  <c r="R59" i="42"/>
  <c r="Q59" i="42"/>
  <c r="P59" i="42"/>
  <c r="O59" i="42"/>
  <c r="N59" i="42"/>
  <c r="M59" i="42"/>
  <c r="L59" i="42"/>
  <c r="K59" i="42"/>
  <c r="J59" i="42"/>
  <c r="I59" i="42"/>
  <c r="H59" i="42"/>
  <c r="G59" i="42"/>
  <c r="F59" i="42"/>
  <c r="E59" i="42"/>
  <c r="D59" i="42"/>
  <c r="AV58" i="42"/>
  <c r="AU58" i="42"/>
  <c r="AT58" i="42"/>
  <c r="AS58" i="42"/>
  <c r="AR58" i="42"/>
  <c r="AQ58" i="42"/>
  <c r="AP58" i="42"/>
  <c r="AO58" i="42"/>
  <c r="AN58" i="42"/>
  <c r="AM58" i="42"/>
  <c r="AL58" i="42"/>
  <c r="AK58" i="42"/>
  <c r="AJ58" i="42"/>
  <c r="AI58" i="42"/>
  <c r="AH58" i="42"/>
  <c r="AG58" i="42"/>
  <c r="AF58" i="42"/>
  <c r="AE58" i="42"/>
  <c r="AD58" i="42"/>
  <c r="AC58" i="42"/>
  <c r="AB58" i="42"/>
  <c r="AA58" i="42"/>
  <c r="Z58" i="42"/>
  <c r="Y58" i="42"/>
  <c r="X58" i="42"/>
  <c r="W58" i="42"/>
  <c r="V58" i="42"/>
  <c r="U58" i="42"/>
  <c r="T58" i="42"/>
  <c r="S58" i="42"/>
  <c r="R58" i="42"/>
  <c r="Q58" i="42"/>
  <c r="P58" i="42"/>
  <c r="O58" i="42"/>
  <c r="N58" i="42"/>
  <c r="M58" i="42"/>
  <c r="L58" i="42"/>
  <c r="K58" i="42"/>
  <c r="J58" i="42"/>
  <c r="I58" i="42"/>
  <c r="H58" i="42"/>
  <c r="G58" i="42"/>
  <c r="F58" i="42"/>
  <c r="E58" i="42"/>
  <c r="D58" i="42"/>
  <c r="AV57" i="42"/>
  <c r="AU57" i="42"/>
  <c r="AT57" i="42"/>
  <c r="AS57" i="42"/>
  <c r="AR57" i="42"/>
  <c r="AQ57" i="42"/>
  <c r="AP57" i="42"/>
  <c r="AO57" i="42"/>
  <c r="AN57" i="42"/>
  <c r="AM57" i="42"/>
  <c r="AL57" i="42"/>
  <c r="AK57" i="42"/>
  <c r="AJ57" i="42"/>
  <c r="AI57" i="42"/>
  <c r="AH57" i="42"/>
  <c r="AG57" i="42"/>
  <c r="AF57" i="42"/>
  <c r="AE57" i="42"/>
  <c r="AD57" i="42"/>
  <c r="AC57" i="42"/>
  <c r="AB57" i="42"/>
  <c r="AA57" i="42"/>
  <c r="Z57" i="42"/>
  <c r="Y57" i="42"/>
  <c r="X57" i="42"/>
  <c r="W57" i="42"/>
  <c r="V57" i="42"/>
  <c r="U57" i="42"/>
  <c r="T57" i="42"/>
  <c r="S57" i="42"/>
  <c r="R57" i="42"/>
  <c r="Q57" i="42"/>
  <c r="P57" i="42"/>
  <c r="O57" i="42"/>
  <c r="N57" i="42"/>
  <c r="M57" i="42"/>
  <c r="L57" i="42"/>
  <c r="K57" i="42"/>
  <c r="J57" i="42"/>
  <c r="I57" i="42"/>
  <c r="H57" i="42"/>
  <c r="G57" i="42"/>
  <c r="F57" i="42"/>
  <c r="E57" i="42"/>
  <c r="D57" i="42"/>
  <c r="AV56" i="42"/>
  <c r="AU56" i="42"/>
  <c r="AT56" i="42"/>
  <c r="AS56" i="42"/>
  <c r="AR56" i="42"/>
  <c r="AQ56" i="42"/>
  <c r="AP56" i="42"/>
  <c r="AO56" i="42"/>
  <c r="AN56" i="42"/>
  <c r="AM56" i="42"/>
  <c r="AL56" i="42"/>
  <c r="AK56" i="42"/>
  <c r="AJ56" i="42"/>
  <c r="AI56" i="42"/>
  <c r="AH56" i="42"/>
  <c r="AG56" i="42"/>
  <c r="AF56" i="42"/>
  <c r="AE56" i="42"/>
  <c r="AD56" i="42"/>
  <c r="AC56" i="42"/>
  <c r="AB56" i="42"/>
  <c r="AA56" i="42"/>
  <c r="Z56" i="42"/>
  <c r="Y56" i="42"/>
  <c r="X56" i="42"/>
  <c r="W56" i="42"/>
  <c r="V56" i="42"/>
  <c r="U56" i="42"/>
  <c r="T56" i="42"/>
  <c r="S56" i="42"/>
  <c r="R56" i="42"/>
  <c r="Q56" i="42"/>
  <c r="P56" i="42"/>
  <c r="O56" i="42"/>
  <c r="N56" i="42"/>
  <c r="M56" i="42"/>
  <c r="L56" i="42"/>
  <c r="K56" i="42"/>
  <c r="J56" i="42"/>
  <c r="I56" i="42"/>
  <c r="H56" i="42"/>
  <c r="G56" i="42"/>
  <c r="F56" i="42"/>
  <c r="E56" i="42"/>
  <c r="D56" i="42"/>
  <c r="AV55" i="42"/>
  <c r="AU55" i="42"/>
  <c r="AT55" i="42"/>
  <c r="AS55" i="42"/>
  <c r="AR55" i="42"/>
  <c r="AQ55" i="42"/>
  <c r="AP55" i="42"/>
  <c r="AO55" i="42"/>
  <c r="AN55" i="42"/>
  <c r="AM55" i="42"/>
  <c r="AL55" i="42"/>
  <c r="AK55" i="42"/>
  <c r="AJ55" i="42"/>
  <c r="AI55" i="42"/>
  <c r="AH55" i="42"/>
  <c r="AG55" i="42"/>
  <c r="AF55" i="42"/>
  <c r="AE55" i="42"/>
  <c r="AD55" i="42"/>
  <c r="AC55" i="42"/>
  <c r="AB55" i="42"/>
  <c r="AA55" i="42"/>
  <c r="Z55" i="42"/>
  <c r="Y55" i="42"/>
  <c r="X55" i="42"/>
  <c r="W55" i="42"/>
  <c r="V55" i="42"/>
  <c r="U55" i="42"/>
  <c r="T55" i="42"/>
  <c r="S55" i="42"/>
  <c r="R55" i="42"/>
  <c r="Q55" i="42"/>
  <c r="P55" i="42"/>
  <c r="O55" i="42"/>
  <c r="N55" i="42"/>
  <c r="M55" i="42"/>
  <c r="L55" i="42"/>
  <c r="K55" i="42"/>
  <c r="J55" i="42"/>
  <c r="I55" i="42"/>
  <c r="H55" i="42"/>
  <c r="G55" i="42"/>
  <c r="F55" i="42"/>
  <c r="E55" i="42"/>
  <c r="D55" i="42"/>
  <c r="W54" i="42"/>
  <c r="V54" i="42"/>
  <c r="U54" i="42"/>
  <c r="T54" i="42"/>
  <c r="S54" i="42"/>
  <c r="R54" i="42"/>
  <c r="Q54" i="42"/>
  <c r="P54" i="42"/>
  <c r="O54" i="42"/>
  <c r="N54" i="42"/>
  <c r="M54" i="42"/>
  <c r="L54" i="42"/>
  <c r="K54" i="42"/>
  <c r="J54" i="42"/>
  <c r="I54" i="42"/>
  <c r="H54" i="42"/>
  <c r="G54" i="42"/>
  <c r="F54" i="42"/>
  <c r="E54" i="42"/>
  <c r="D54" i="42"/>
  <c r="AV53" i="42"/>
  <c r="AQ53" i="42"/>
  <c r="AL53" i="42"/>
  <c r="AG53" i="42"/>
  <c r="AB53" i="42"/>
  <c r="AA53" i="42"/>
  <c r="Z53" i="42"/>
  <c r="Y53" i="42"/>
  <c r="W53" i="42"/>
  <c r="V53" i="42"/>
  <c r="U53" i="42"/>
  <c r="T53" i="42"/>
  <c r="S53" i="42"/>
  <c r="R53" i="42"/>
  <c r="Q53" i="42"/>
  <c r="P53" i="42"/>
  <c r="O53" i="42"/>
  <c r="N53" i="42"/>
  <c r="M53" i="42"/>
  <c r="L53" i="42"/>
  <c r="K53" i="42"/>
  <c r="J53" i="42"/>
  <c r="I53" i="42"/>
  <c r="H53" i="42"/>
  <c r="G53" i="42"/>
  <c r="F53" i="42"/>
  <c r="E53" i="42"/>
  <c r="D53" i="42"/>
  <c r="AV52" i="42"/>
  <c r="AU52" i="42"/>
  <c r="AT52" i="42"/>
  <c r="AS52" i="42"/>
  <c r="AR52" i="42"/>
  <c r="AQ52" i="42"/>
  <c r="AP52" i="42"/>
  <c r="AO52" i="42"/>
  <c r="AN52" i="42"/>
  <c r="AM52" i="42"/>
  <c r="AL52" i="42"/>
  <c r="AK52" i="42"/>
  <c r="AJ52" i="42"/>
  <c r="AI52" i="42"/>
  <c r="AH52" i="42"/>
  <c r="AG52" i="42"/>
  <c r="AF52" i="42"/>
  <c r="AE52" i="42"/>
  <c r="AD52" i="42"/>
  <c r="AC52" i="42"/>
  <c r="AB52" i="42"/>
  <c r="AA52" i="42"/>
  <c r="Z52" i="42"/>
  <c r="Y52" i="42"/>
  <c r="X52" i="42"/>
  <c r="W52" i="42"/>
  <c r="V52" i="42"/>
  <c r="U52" i="42"/>
  <c r="T52" i="42"/>
  <c r="S52" i="42"/>
  <c r="R52" i="42"/>
  <c r="Q52" i="42"/>
  <c r="P52" i="42"/>
  <c r="O52" i="42"/>
  <c r="N52" i="42"/>
  <c r="M52" i="42"/>
  <c r="L52" i="42"/>
  <c r="K52" i="42"/>
  <c r="J52" i="42"/>
  <c r="I52" i="42"/>
  <c r="H52" i="42"/>
  <c r="G52" i="42"/>
  <c r="F52" i="42"/>
  <c r="E52" i="42"/>
  <c r="D52" i="42"/>
  <c r="AV51" i="42"/>
  <c r="AU51" i="42"/>
  <c r="AT51" i="42"/>
  <c r="AS51" i="42"/>
  <c r="AR51" i="42"/>
  <c r="AQ51" i="42"/>
  <c r="AP51" i="42"/>
  <c r="AO51" i="42"/>
  <c r="AN51" i="42"/>
  <c r="AM51" i="42"/>
  <c r="AL51" i="42"/>
  <c r="AK51" i="42"/>
  <c r="AJ51" i="42"/>
  <c r="AI51" i="42"/>
  <c r="AH51" i="42"/>
  <c r="AG51" i="42"/>
  <c r="AF51" i="42"/>
  <c r="AE51" i="42"/>
  <c r="AD51" i="42"/>
  <c r="AC51" i="42"/>
  <c r="AB51" i="42"/>
  <c r="AA51" i="42"/>
  <c r="Z51" i="42"/>
  <c r="Y51" i="42"/>
  <c r="X51" i="42"/>
  <c r="W51" i="42"/>
  <c r="V51" i="42"/>
  <c r="U51" i="42"/>
  <c r="T51" i="42"/>
  <c r="S51" i="42"/>
  <c r="R51" i="42"/>
  <c r="Q51" i="42"/>
  <c r="P51" i="42"/>
  <c r="O51" i="42"/>
  <c r="N51" i="42"/>
  <c r="M51" i="42"/>
  <c r="L51" i="42"/>
  <c r="K51" i="42"/>
  <c r="J51" i="42"/>
  <c r="I51" i="42"/>
  <c r="H51" i="42"/>
  <c r="G51" i="42"/>
  <c r="F51" i="42"/>
  <c r="E51" i="42"/>
  <c r="D51" i="42"/>
  <c r="AV50" i="42"/>
  <c r="AU50" i="42"/>
  <c r="AT50" i="42"/>
  <c r="AS50" i="42"/>
  <c r="AR50" i="42"/>
  <c r="AQ50" i="42"/>
  <c r="AP50" i="42"/>
  <c r="AO50" i="42"/>
  <c r="AN50" i="42"/>
  <c r="AM50" i="42"/>
  <c r="AL50" i="42"/>
  <c r="AK50" i="42"/>
  <c r="AJ50" i="42"/>
  <c r="AI50" i="42"/>
  <c r="AH50" i="42"/>
  <c r="AG50" i="42"/>
  <c r="AF50" i="42"/>
  <c r="AE50" i="42"/>
  <c r="AD50" i="42"/>
  <c r="AC50" i="42"/>
  <c r="AB50" i="42"/>
  <c r="AA50" i="42"/>
  <c r="Z50" i="42"/>
  <c r="Y50" i="42"/>
  <c r="X50" i="42"/>
  <c r="W50" i="42"/>
  <c r="V50" i="42"/>
  <c r="U50" i="42"/>
  <c r="T50" i="42"/>
  <c r="S50" i="42"/>
  <c r="R50" i="42"/>
  <c r="Q50" i="42"/>
  <c r="P50" i="42"/>
  <c r="O50" i="42"/>
  <c r="N50" i="42"/>
  <c r="M50" i="42"/>
  <c r="L50" i="42"/>
  <c r="K50" i="42"/>
  <c r="J50" i="42"/>
  <c r="I50" i="42"/>
  <c r="H50" i="42"/>
  <c r="G50" i="42"/>
  <c r="F50" i="42"/>
  <c r="E50" i="42"/>
  <c r="D50" i="42"/>
  <c r="AV49" i="42"/>
  <c r="AU49" i="42"/>
  <c r="AT49" i="42"/>
  <c r="AS49" i="42"/>
  <c r="AR49" i="42"/>
  <c r="AQ49" i="42"/>
  <c r="AP49" i="42"/>
  <c r="AO49" i="42"/>
  <c r="AN49" i="42"/>
  <c r="AM49" i="42"/>
  <c r="AL49" i="42"/>
  <c r="AK49" i="42"/>
  <c r="AJ49" i="42"/>
  <c r="AI49" i="42"/>
  <c r="AH49" i="42"/>
  <c r="AG49" i="42"/>
  <c r="AF49" i="42"/>
  <c r="AE49" i="42"/>
  <c r="AD49" i="42"/>
  <c r="AC49" i="42"/>
  <c r="AB49" i="42"/>
  <c r="AA49" i="42"/>
  <c r="Z49" i="42"/>
  <c r="Y49" i="42"/>
  <c r="X49" i="42"/>
  <c r="W49" i="42"/>
  <c r="V49" i="42"/>
  <c r="U49" i="42"/>
  <c r="T49" i="42"/>
  <c r="S49" i="42"/>
  <c r="R49" i="42"/>
  <c r="Q49" i="42"/>
  <c r="P49" i="42"/>
  <c r="O49" i="42"/>
  <c r="N49" i="42"/>
  <c r="M49" i="42"/>
  <c r="L49" i="42"/>
  <c r="K49" i="42"/>
  <c r="J49" i="42"/>
  <c r="I49" i="42"/>
  <c r="H49" i="42"/>
  <c r="G49" i="42"/>
  <c r="F49" i="42"/>
  <c r="E49" i="42"/>
  <c r="D49" i="42"/>
  <c r="AV48" i="42"/>
  <c r="AU48" i="42"/>
  <c r="AT48" i="42"/>
  <c r="AS48" i="42"/>
  <c r="AR48" i="42"/>
  <c r="AQ48" i="42"/>
  <c r="AP48" i="42"/>
  <c r="AO48" i="42"/>
  <c r="AN48" i="42"/>
  <c r="AM48" i="42"/>
  <c r="AL48" i="42"/>
  <c r="AK48" i="42"/>
  <c r="AJ48" i="42"/>
  <c r="AI48" i="42"/>
  <c r="AH48" i="42"/>
  <c r="AG48" i="42"/>
  <c r="AF48" i="42"/>
  <c r="AE48" i="42"/>
  <c r="AD48" i="42"/>
  <c r="AC48" i="42"/>
  <c r="AB48" i="42"/>
  <c r="AA48" i="42"/>
  <c r="Z48" i="42"/>
  <c r="Y48" i="42"/>
  <c r="X48" i="42"/>
  <c r="W48" i="42"/>
  <c r="V48" i="42"/>
  <c r="U48" i="42"/>
  <c r="T48" i="42"/>
  <c r="S48" i="42"/>
  <c r="R48" i="42"/>
  <c r="Q48" i="42"/>
  <c r="P48" i="42"/>
  <c r="O48" i="42"/>
  <c r="N48" i="42"/>
  <c r="M48" i="42"/>
  <c r="L48" i="42"/>
  <c r="K48" i="42"/>
  <c r="J48" i="42"/>
  <c r="I48" i="42"/>
  <c r="H48" i="42"/>
  <c r="G48" i="42"/>
  <c r="F48" i="42"/>
  <c r="E48" i="42"/>
  <c r="D48" i="42"/>
  <c r="AV47" i="42"/>
  <c r="AU47" i="42"/>
  <c r="AT47" i="42"/>
  <c r="AS47" i="42"/>
  <c r="AR47" i="42"/>
  <c r="AQ47" i="42"/>
  <c r="AP47" i="42"/>
  <c r="AO47" i="42"/>
  <c r="AN47" i="42"/>
  <c r="AM47" i="42"/>
  <c r="AL47" i="42"/>
  <c r="AK47" i="42"/>
  <c r="AJ47" i="42"/>
  <c r="AI47" i="42"/>
  <c r="AH47" i="42"/>
  <c r="AG47" i="42"/>
  <c r="AF47" i="42"/>
  <c r="AE47" i="42"/>
  <c r="AD47" i="42"/>
  <c r="AC47" i="42"/>
  <c r="AA47" i="42"/>
  <c r="Z47" i="42"/>
  <c r="Y47" i="42"/>
  <c r="X47" i="42"/>
  <c r="W47" i="42"/>
  <c r="V47" i="42"/>
  <c r="U47" i="42"/>
  <c r="T47" i="42"/>
  <c r="S47" i="42"/>
  <c r="R47" i="42"/>
  <c r="Q47" i="42"/>
  <c r="P47" i="42"/>
  <c r="O47" i="42"/>
  <c r="N47" i="42"/>
  <c r="M47" i="42"/>
  <c r="L47" i="42"/>
  <c r="K47" i="42"/>
  <c r="J47" i="42"/>
  <c r="I47" i="42"/>
  <c r="H47" i="42"/>
  <c r="G47" i="42"/>
  <c r="F47" i="42"/>
  <c r="E47" i="42"/>
  <c r="D47" i="42"/>
  <c r="W46" i="42"/>
  <c r="V46" i="42"/>
  <c r="U46" i="42"/>
  <c r="T46" i="42"/>
  <c r="S46" i="42"/>
  <c r="R46" i="42"/>
  <c r="Q46" i="42"/>
  <c r="P46" i="42"/>
  <c r="O46" i="42"/>
  <c r="N46" i="42"/>
  <c r="M46" i="42"/>
  <c r="L46" i="42"/>
  <c r="K46" i="42"/>
  <c r="J46" i="42"/>
  <c r="I46" i="42"/>
  <c r="H46" i="42"/>
  <c r="G46" i="42"/>
  <c r="F46" i="42"/>
  <c r="E46" i="42"/>
  <c r="D46" i="42"/>
  <c r="W45" i="42"/>
  <c r="V45" i="42"/>
  <c r="U45" i="42"/>
  <c r="T45" i="42"/>
  <c r="S45" i="42"/>
  <c r="R45" i="42"/>
  <c r="Q45" i="42"/>
  <c r="P45" i="42"/>
  <c r="O45" i="42"/>
  <c r="N45" i="42"/>
  <c r="M45" i="42"/>
  <c r="L45" i="42"/>
  <c r="K45" i="42"/>
  <c r="J45" i="42"/>
  <c r="I45" i="42"/>
  <c r="H45" i="42"/>
  <c r="G45" i="42"/>
  <c r="F45" i="42"/>
  <c r="E45" i="42"/>
  <c r="D45" i="42"/>
  <c r="AV44" i="42"/>
  <c r="AQ44" i="42"/>
  <c r="AL44" i="42"/>
  <c r="AG44" i="42"/>
  <c r="AB44" i="42"/>
  <c r="AA44" i="42"/>
  <c r="Y44" i="42"/>
  <c r="X44" i="42"/>
  <c r="W44" i="42"/>
  <c r="V44" i="42"/>
  <c r="U44" i="42"/>
  <c r="T44" i="42"/>
  <c r="S44" i="42"/>
  <c r="R44" i="42"/>
  <c r="Q44" i="42"/>
  <c r="P44" i="42"/>
  <c r="O44" i="42"/>
  <c r="N44" i="42"/>
  <c r="M44" i="42"/>
  <c r="L44" i="42"/>
  <c r="K44" i="42"/>
  <c r="J44" i="42"/>
  <c r="I44" i="42"/>
  <c r="H44" i="42"/>
  <c r="G44" i="42"/>
  <c r="F44" i="42"/>
  <c r="E44" i="42"/>
  <c r="D44" i="42"/>
  <c r="AV43" i="42"/>
  <c r="AU43" i="42"/>
  <c r="AT43" i="42"/>
  <c r="AS43" i="42"/>
  <c r="AR43" i="42"/>
  <c r="AQ43" i="42"/>
  <c r="AP43" i="42"/>
  <c r="AO43" i="42"/>
  <c r="AN43" i="42"/>
  <c r="AM43" i="42"/>
  <c r="AL43" i="42"/>
  <c r="AK43" i="42"/>
  <c r="AJ43" i="42"/>
  <c r="AI43" i="42"/>
  <c r="AH43" i="42"/>
  <c r="AG43" i="42"/>
  <c r="AF43" i="42"/>
  <c r="AE43" i="42"/>
  <c r="AD43" i="42"/>
  <c r="AC43" i="42"/>
  <c r="AB43" i="42"/>
  <c r="AA43" i="42"/>
  <c r="Z43" i="42"/>
  <c r="Y43" i="42"/>
  <c r="X43" i="42"/>
  <c r="W43" i="42"/>
  <c r="V43" i="42"/>
  <c r="U43" i="42"/>
  <c r="T43" i="42"/>
  <c r="S43" i="42"/>
  <c r="R43" i="42"/>
  <c r="Q43" i="42"/>
  <c r="P43" i="42"/>
  <c r="O43" i="42"/>
  <c r="N43" i="42"/>
  <c r="M43" i="42"/>
  <c r="L43" i="42"/>
  <c r="K43" i="42"/>
  <c r="J43" i="42"/>
  <c r="I43" i="42"/>
  <c r="H43" i="42"/>
  <c r="G43" i="42"/>
  <c r="F43" i="42"/>
  <c r="E43" i="42"/>
  <c r="D43" i="42"/>
  <c r="AV42" i="42"/>
  <c r="AU42" i="42"/>
  <c r="AT42" i="42"/>
  <c r="AS42" i="42"/>
  <c r="AR42" i="42"/>
  <c r="AQ42" i="42"/>
  <c r="AP42" i="42"/>
  <c r="AO42" i="42"/>
  <c r="AN42" i="42"/>
  <c r="AM42" i="42"/>
  <c r="AL42" i="42"/>
  <c r="AK42" i="42"/>
  <c r="AJ42" i="42"/>
  <c r="AI42" i="42"/>
  <c r="AH42" i="42"/>
  <c r="AG42" i="42"/>
  <c r="AF42" i="42"/>
  <c r="AE42" i="42"/>
  <c r="AD42" i="42"/>
  <c r="AC42" i="42"/>
  <c r="AB42" i="42"/>
  <c r="AA42" i="42"/>
  <c r="Z42" i="42"/>
  <c r="Y42" i="42"/>
  <c r="X42" i="42"/>
  <c r="W42" i="42"/>
  <c r="V42" i="42"/>
  <c r="U42" i="42"/>
  <c r="T42" i="42"/>
  <c r="S42" i="42"/>
  <c r="R42" i="42"/>
  <c r="Q42" i="42"/>
  <c r="P42" i="42"/>
  <c r="O42" i="42"/>
  <c r="N42" i="42"/>
  <c r="M42" i="42"/>
  <c r="L42" i="42"/>
  <c r="K42" i="42"/>
  <c r="J42" i="42"/>
  <c r="I42" i="42"/>
  <c r="H42" i="42"/>
  <c r="G42" i="42"/>
  <c r="F42" i="42"/>
  <c r="E42" i="42"/>
  <c r="D42" i="42"/>
  <c r="AV41" i="42"/>
  <c r="AU41" i="42"/>
  <c r="AT41" i="42"/>
  <c r="AS41" i="42"/>
  <c r="AR41" i="42"/>
  <c r="AQ41" i="42"/>
  <c r="AP41" i="42"/>
  <c r="AO41" i="42"/>
  <c r="AN41" i="42"/>
  <c r="AM41" i="42"/>
  <c r="AL41" i="42"/>
  <c r="AK41" i="42"/>
  <c r="AJ41" i="42"/>
  <c r="AI41" i="42"/>
  <c r="AH41" i="42"/>
  <c r="AG41" i="42"/>
  <c r="AF41" i="42"/>
  <c r="AE41" i="42"/>
  <c r="AD41" i="42"/>
  <c r="AC41" i="42"/>
  <c r="AB41" i="42"/>
  <c r="AA41" i="42"/>
  <c r="Z41" i="42"/>
  <c r="Y41" i="42"/>
  <c r="X41" i="42"/>
  <c r="W41" i="42"/>
  <c r="V41" i="42"/>
  <c r="U41" i="42"/>
  <c r="T41" i="42"/>
  <c r="S41" i="42"/>
  <c r="R41" i="42"/>
  <c r="Q41" i="42"/>
  <c r="P41" i="42"/>
  <c r="O41" i="42"/>
  <c r="N41" i="42"/>
  <c r="M41" i="42"/>
  <c r="L41" i="42"/>
  <c r="K41" i="42"/>
  <c r="J41" i="42"/>
  <c r="I41" i="42"/>
  <c r="H41" i="42"/>
  <c r="G41" i="42"/>
  <c r="F41" i="42"/>
  <c r="E41" i="42"/>
  <c r="D41" i="42"/>
  <c r="AU36" i="42"/>
  <c r="AT36" i="42"/>
  <c r="AS36" i="42"/>
  <c r="AR36" i="42"/>
  <c r="AP36" i="42"/>
  <c r="AO36" i="42"/>
  <c r="AN36" i="42"/>
  <c r="AM36" i="42"/>
  <c r="AK36" i="42"/>
  <c r="AJ36" i="42"/>
  <c r="AI36" i="42"/>
  <c r="AH36" i="42"/>
  <c r="AF36" i="42"/>
  <c r="AE36" i="42"/>
  <c r="AD36" i="42"/>
  <c r="AC36" i="42"/>
  <c r="AA36" i="42"/>
  <c r="Z36" i="42"/>
  <c r="Y36" i="42"/>
  <c r="X36" i="42"/>
  <c r="V36" i="42"/>
  <c r="U36" i="42"/>
  <c r="T36" i="42"/>
  <c r="S36" i="42"/>
  <c r="R36" i="42"/>
  <c r="Q36" i="42"/>
  <c r="P36" i="42"/>
  <c r="O36" i="42"/>
  <c r="N36" i="42"/>
  <c r="M36" i="42"/>
  <c r="L36" i="42"/>
  <c r="K36" i="42"/>
  <c r="J36" i="42"/>
  <c r="I36" i="42"/>
  <c r="H36" i="42"/>
  <c r="G36" i="42"/>
  <c r="F36" i="42"/>
  <c r="E36" i="42"/>
  <c r="AF35" i="42"/>
  <c r="AE35" i="42"/>
  <c r="AD35" i="42"/>
  <c r="AC35" i="42"/>
  <c r="AB35" i="42"/>
  <c r="AA35" i="42"/>
  <c r="Z35" i="42"/>
  <c r="Y35" i="42"/>
  <c r="X35" i="42"/>
  <c r="W35" i="42"/>
  <c r="V35" i="42"/>
  <c r="U35" i="42"/>
  <c r="T35" i="42"/>
  <c r="S35" i="42"/>
  <c r="R35" i="42"/>
  <c r="Q35" i="42"/>
  <c r="P35" i="42"/>
  <c r="O35" i="42"/>
  <c r="N35" i="42"/>
  <c r="M35" i="42"/>
  <c r="L35" i="42"/>
  <c r="K35" i="42"/>
  <c r="J35" i="42"/>
  <c r="I35" i="42"/>
  <c r="H35" i="42"/>
  <c r="G35" i="42"/>
  <c r="F35" i="42"/>
  <c r="E35" i="42"/>
  <c r="U34" i="42"/>
  <c r="T34" i="42"/>
  <c r="S34" i="42"/>
  <c r="R34" i="42"/>
  <c r="Q34" i="42"/>
  <c r="P34" i="42"/>
  <c r="O34" i="42"/>
  <c r="N34" i="42"/>
  <c r="M34" i="42"/>
  <c r="L34" i="42"/>
  <c r="K34" i="42"/>
  <c r="J34" i="42"/>
  <c r="I34" i="42"/>
  <c r="H34" i="42"/>
  <c r="G34" i="42"/>
  <c r="F34" i="42"/>
  <c r="E34" i="42"/>
  <c r="U33" i="42"/>
  <c r="T33" i="42"/>
  <c r="S33" i="42"/>
  <c r="R33" i="42"/>
  <c r="Q33" i="42"/>
  <c r="P33" i="42"/>
  <c r="O33" i="42"/>
  <c r="N33" i="42"/>
  <c r="M33" i="42"/>
  <c r="L33" i="42"/>
  <c r="K33" i="42"/>
  <c r="J33" i="42"/>
  <c r="I33" i="42"/>
  <c r="H33" i="42"/>
  <c r="G33" i="42"/>
  <c r="F33" i="42"/>
  <c r="E33" i="42"/>
  <c r="U32" i="42"/>
  <c r="T32" i="42"/>
  <c r="S32" i="42"/>
  <c r="R32" i="42"/>
  <c r="Q32" i="42"/>
  <c r="P32" i="42"/>
  <c r="O32" i="42"/>
  <c r="N32" i="42"/>
  <c r="M32" i="42"/>
  <c r="L32" i="42"/>
  <c r="K32" i="42"/>
  <c r="J32" i="42"/>
  <c r="I32" i="42"/>
  <c r="H32" i="42"/>
  <c r="G32" i="42"/>
  <c r="F32" i="42"/>
  <c r="E32" i="42"/>
  <c r="AA31" i="42"/>
  <c r="Z31" i="42"/>
  <c r="Y31" i="42"/>
  <c r="X31" i="42"/>
  <c r="V31" i="42"/>
  <c r="U31" i="42"/>
  <c r="T31" i="42"/>
  <c r="S31" i="42"/>
  <c r="R31" i="42"/>
  <c r="Q31" i="42"/>
  <c r="P31" i="42"/>
  <c r="O31" i="42"/>
  <c r="N31" i="42"/>
  <c r="M31" i="42"/>
  <c r="L31" i="42"/>
  <c r="K31" i="42"/>
  <c r="J31" i="42"/>
  <c r="I31" i="42"/>
  <c r="H31" i="42"/>
  <c r="G31" i="42"/>
  <c r="F31" i="42"/>
  <c r="E31" i="42"/>
  <c r="AA30" i="42"/>
  <c r="Z30" i="42"/>
  <c r="Y30" i="42"/>
  <c r="X30" i="42"/>
  <c r="V30" i="42"/>
  <c r="U30" i="42"/>
  <c r="T30" i="42"/>
  <c r="S30" i="42"/>
  <c r="R30" i="42"/>
  <c r="Q30" i="42"/>
  <c r="P30" i="42"/>
  <c r="O30" i="42"/>
  <c r="N30" i="42"/>
  <c r="M30" i="42"/>
  <c r="L30" i="42"/>
  <c r="K30" i="42"/>
  <c r="J30" i="42"/>
  <c r="I30" i="42"/>
  <c r="H30" i="42"/>
  <c r="G30" i="42"/>
  <c r="F30" i="42"/>
  <c r="E30" i="42"/>
  <c r="U29" i="42"/>
  <c r="T29" i="42"/>
  <c r="S29" i="42"/>
  <c r="R29" i="42"/>
  <c r="Q29" i="42"/>
  <c r="P29" i="42"/>
  <c r="O29" i="42"/>
  <c r="N29" i="42"/>
  <c r="M29" i="42"/>
  <c r="L29" i="42"/>
  <c r="K29" i="42"/>
  <c r="J29" i="42"/>
  <c r="I29" i="42"/>
  <c r="H29" i="42"/>
  <c r="G29" i="42"/>
  <c r="F29" i="42"/>
  <c r="E29" i="42"/>
  <c r="AV28" i="42"/>
  <c r="AU28" i="42"/>
  <c r="AT28" i="42"/>
  <c r="AS28" i="42"/>
  <c r="AR28" i="42"/>
  <c r="AQ28" i="42"/>
  <c r="AP28" i="42"/>
  <c r="AO28" i="42"/>
  <c r="AN28" i="42"/>
  <c r="AM28" i="42"/>
  <c r="AL28" i="42"/>
  <c r="AK28" i="42"/>
  <c r="AJ28" i="42"/>
  <c r="AI28" i="42"/>
  <c r="AH28" i="42"/>
  <c r="AG28" i="42"/>
  <c r="AF28" i="42"/>
  <c r="AE28" i="42"/>
  <c r="AD28" i="42"/>
  <c r="AC28" i="42"/>
  <c r="AB28" i="42"/>
  <c r="AA28" i="42"/>
  <c r="Z28" i="42"/>
  <c r="Y28" i="42"/>
  <c r="X28" i="42"/>
  <c r="W28" i="42"/>
  <c r="V28" i="42"/>
  <c r="U28" i="42"/>
  <c r="T28" i="42"/>
  <c r="S28" i="42"/>
  <c r="R28" i="42"/>
  <c r="Q28" i="42"/>
  <c r="P28" i="42"/>
  <c r="O28" i="42"/>
  <c r="N28" i="42"/>
  <c r="M28" i="42"/>
  <c r="L28" i="42"/>
  <c r="K28" i="42"/>
  <c r="J28" i="42"/>
  <c r="I28" i="42"/>
  <c r="H28" i="42"/>
  <c r="G28" i="42"/>
  <c r="F28" i="42"/>
  <c r="E28" i="42"/>
  <c r="U27" i="42"/>
  <c r="T27" i="42"/>
  <c r="S27" i="42"/>
  <c r="R27" i="42"/>
  <c r="Q27" i="42"/>
  <c r="P27" i="42"/>
  <c r="O27" i="42"/>
  <c r="N27" i="42"/>
  <c r="M27" i="42"/>
  <c r="L27" i="42"/>
  <c r="K27" i="42"/>
  <c r="J27" i="42"/>
  <c r="I27" i="42"/>
  <c r="H27" i="42"/>
  <c r="G27" i="42"/>
  <c r="F27" i="42"/>
  <c r="E27" i="42"/>
  <c r="AV26" i="42"/>
  <c r="AU26" i="42"/>
  <c r="AT26" i="42"/>
  <c r="AS26" i="42"/>
  <c r="AR26" i="42"/>
  <c r="AQ26" i="42"/>
  <c r="AP26" i="42"/>
  <c r="AO26" i="42"/>
  <c r="AN26" i="42"/>
  <c r="AM26" i="42"/>
  <c r="AL26" i="42"/>
  <c r="AK26" i="42"/>
  <c r="AJ26" i="42"/>
  <c r="AI26" i="42"/>
  <c r="AH26" i="42"/>
  <c r="AG26" i="42"/>
  <c r="AF26" i="42"/>
  <c r="AE26" i="42"/>
  <c r="AD26" i="42"/>
  <c r="AC26" i="42"/>
  <c r="AB26" i="42"/>
  <c r="AA26" i="42"/>
  <c r="Z26" i="42"/>
  <c r="Y26" i="42"/>
  <c r="X26" i="42"/>
  <c r="W26" i="42"/>
  <c r="V26" i="42"/>
  <c r="U26" i="42"/>
  <c r="T26" i="42"/>
  <c r="S26" i="42"/>
  <c r="R26" i="42"/>
  <c r="Q26" i="42"/>
  <c r="P26" i="42"/>
  <c r="O26" i="42"/>
  <c r="N26" i="42"/>
  <c r="M26" i="42"/>
  <c r="L26" i="42"/>
  <c r="K26" i="42"/>
  <c r="J26" i="42"/>
  <c r="I26" i="42"/>
  <c r="H26" i="42"/>
  <c r="G26" i="42"/>
  <c r="F26" i="42"/>
  <c r="E26" i="42"/>
  <c r="U25" i="42"/>
  <c r="T25" i="42"/>
  <c r="S25" i="42"/>
  <c r="R25" i="42"/>
  <c r="Q25" i="42"/>
  <c r="P25" i="42"/>
  <c r="O25" i="42"/>
  <c r="N25" i="42"/>
  <c r="M25" i="42"/>
  <c r="L25" i="42"/>
  <c r="K25" i="42"/>
  <c r="J25" i="42"/>
  <c r="I25" i="42"/>
  <c r="H25" i="42"/>
  <c r="G25" i="42"/>
  <c r="F25" i="42"/>
  <c r="E25" i="42"/>
  <c r="U24" i="42"/>
  <c r="T24" i="42"/>
  <c r="S24" i="42"/>
  <c r="R24" i="42"/>
  <c r="Q24" i="42"/>
  <c r="P24" i="42"/>
  <c r="O24" i="42"/>
  <c r="N24" i="42"/>
  <c r="M24" i="42"/>
  <c r="L24" i="42"/>
  <c r="K24" i="42"/>
  <c r="J24" i="42"/>
  <c r="I24" i="42"/>
  <c r="H24" i="42"/>
  <c r="G24" i="42"/>
  <c r="F24" i="42"/>
  <c r="E24" i="42"/>
  <c r="U23" i="42"/>
  <c r="T23" i="42"/>
  <c r="S23" i="42"/>
  <c r="R23" i="42"/>
  <c r="Q23" i="42"/>
  <c r="P23" i="42"/>
  <c r="O23" i="42"/>
  <c r="N23" i="42"/>
  <c r="M23" i="42"/>
  <c r="L23" i="42"/>
  <c r="K23" i="42"/>
  <c r="J23" i="42"/>
  <c r="I23" i="42"/>
  <c r="H23" i="42"/>
  <c r="G23" i="42"/>
  <c r="F23" i="42"/>
  <c r="E23" i="42"/>
  <c r="U22" i="42"/>
  <c r="T22" i="42"/>
  <c r="S22" i="42"/>
  <c r="R22" i="42"/>
  <c r="Q22" i="42"/>
  <c r="P22" i="42"/>
  <c r="O22" i="42"/>
  <c r="N22" i="42"/>
  <c r="M22" i="42"/>
  <c r="L22" i="42"/>
  <c r="K22" i="42"/>
  <c r="J22" i="42"/>
  <c r="I22" i="42"/>
  <c r="H22" i="42"/>
  <c r="G22" i="42"/>
  <c r="F22" i="42"/>
  <c r="E22" i="42"/>
  <c r="U21" i="42"/>
  <c r="T21" i="42"/>
  <c r="S21" i="42"/>
  <c r="R21" i="42"/>
  <c r="Q21" i="42"/>
  <c r="P21" i="42"/>
  <c r="O21" i="42"/>
  <c r="N21" i="42"/>
  <c r="M21" i="42"/>
  <c r="L21" i="42"/>
  <c r="K21" i="42"/>
  <c r="J21" i="42"/>
  <c r="I21" i="42"/>
  <c r="H21" i="42"/>
  <c r="G21" i="42"/>
  <c r="F21" i="42"/>
  <c r="E21" i="42"/>
  <c r="AV20" i="42"/>
  <c r="AU20" i="42"/>
  <c r="AT20" i="42"/>
  <c r="AS20" i="42"/>
  <c r="AR20" i="42"/>
  <c r="AQ20" i="42"/>
  <c r="AP20" i="42"/>
  <c r="AO20" i="42"/>
  <c r="AN20" i="42"/>
  <c r="AM20" i="42"/>
  <c r="AL20" i="42"/>
  <c r="AK20" i="42"/>
  <c r="AJ20" i="42"/>
  <c r="AI20" i="42"/>
  <c r="AH20" i="42"/>
  <c r="AG20" i="42"/>
  <c r="AF20" i="42"/>
  <c r="AE20" i="42"/>
  <c r="AD20" i="42"/>
  <c r="AC20" i="42"/>
  <c r="AB20" i="42"/>
  <c r="AA20" i="42"/>
  <c r="Z20" i="42"/>
  <c r="Y20" i="42"/>
  <c r="X20" i="42"/>
  <c r="W20" i="42"/>
  <c r="V20" i="42"/>
  <c r="U20" i="42"/>
  <c r="T20" i="42"/>
  <c r="S20" i="42"/>
  <c r="R20" i="42"/>
  <c r="Q20" i="42"/>
  <c r="P20" i="42"/>
  <c r="O20" i="42"/>
  <c r="N20" i="42"/>
  <c r="M20" i="42"/>
  <c r="L20" i="42"/>
  <c r="K20" i="42"/>
  <c r="J20" i="42"/>
  <c r="I20" i="42"/>
  <c r="H20" i="42"/>
  <c r="G20" i="42"/>
  <c r="F20" i="42"/>
  <c r="E20" i="42"/>
  <c r="U19" i="42"/>
  <c r="T19" i="42"/>
  <c r="S19" i="42"/>
  <c r="R19" i="42"/>
  <c r="Q19" i="42"/>
  <c r="P19" i="42"/>
  <c r="O19" i="42"/>
  <c r="N19" i="42"/>
  <c r="M19" i="42"/>
  <c r="L19" i="42"/>
  <c r="K19" i="42"/>
  <c r="J19" i="42"/>
  <c r="I19" i="42"/>
  <c r="H19" i="42"/>
  <c r="G19" i="42"/>
  <c r="F19" i="42"/>
  <c r="E19" i="42"/>
  <c r="AV18" i="42"/>
  <c r="AU18" i="42"/>
  <c r="AT18" i="42"/>
  <c r="AS18" i="42"/>
  <c r="AR18" i="42"/>
  <c r="AQ18" i="42"/>
  <c r="AP18" i="42"/>
  <c r="AO18" i="42"/>
  <c r="AN18" i="42"/>
  <c r="AM18" i="42"/>
  <c r="AL18" i="42"/>
  <c r="AK18" i="42"/>
  <c r="AJ18" i="42"/>
  <c r="AI18" i="42"/>
  <c r="AH18" i="42"/>
  <c r="AG18" i="42"/>
  <c r="AF18" i="42"/>
  <c r="AE18" i="42"/>
  <c r="AD18" i="42"/>
  <c r="AC18" i="42"/>
  <c r="AB18" i="42"/>
  <c r="AA18" i="42"/>
  <c r="Z18" i="42"/>
  <c r="Y18" i="42"/>
  <c r="X18" i="42"/>
  <c r="W18" i="42"/>
  <c r="V18" i="42"/>
  <c r="U18" i="42"/>
  <c r="T18" i="42"/>
  <c r="S18" i="42"/>
  <c r="R18" i="42"/>
  <c r="Q18" i="42"/>
  <c r="P18" i="42"/>
  <c r="O18" i="42"/>
  <c r="N18" i="42"/>
  <c r="M18" i="42"/>
  <c r="L18" i="42"/>
  <c r="K18" i="42"/>
  <c r="J18" i="42"/>
  <c r="I18" i="42"/>
  <c r="H18" i="42"/>
  <c r="G18" i="42"/>
  <c r="F18" i="42"/>
  <c r="E18" i="42"/>
  <c r="U17" i="42"/>
  <c r="T17" i="42"/>
  <c r="S17" i="42"/>
  <c r="R17" i="42"/>
  <c r="Q17" i="42"/>
  <c r="P17" i="42"/>
  <c r="O17" i="42"/>
  <c r="N17" i="42"/>
  <c r="M17" i="42"/>
  <c r="L17" i="42"/>
  <c r="K17" i="42"/>
  <c r="J17" i="42"/>
  <c r="I17" i="42"/>
  <c r="H17" i="42"/>
  <c r="G17" i="42"/>
  <c r="F17" i="42"/>
  <c r="E17" i="42"/>
  <c r="AV16" i="42"/>
  <c r="AU16" i="42"/>
  <c r="AT16" i="42"/>
  <c r="AS16" i="42"/>
  <c r="AR16" i="42"/>
  <c r="AQ16" i="42"/>
  <c r="AP16" i="42"/>
  <c r="AO16" i="42"/>
  <c r="AN16" i="42"/>
  <c r="AM16" i="42"/>
  <c r="AL16" i="42"/>
  <c r="AK16" i="42"/>
  <c r="AJ16" i="42"/>
  <c r="AI16" i="42"/>
  <c r="AH16" i="42"/>
  <c r="AG16" i="42"/>
  <c r="AF16" i="42"/>
  <c r="AE16" i="42"/>
  <c r="AD16" i="42"/>
  <c r="AC16" i="42"/>
  <c r="AB16" i="42"/>
  <c r="AA16" i="42"/>
  <c r="Z16" i="42"/>
  <c r="Y16" i="42"/>
  <c r="X16" i="42"/>
  <c r="W16" i="42"/>
  <c r="V16" i="42"/>
  <c r="U16" i="42"/>
  <c r="T16" i="42"/>
  <c r="S16" i="42"/>
  <c r="R16" i="42"/>
  <c r="Q16" i="42"/>
  <c r="P16" i="42"/>
  <c r="O16" i="42"/>
  <c r="N16" i="42"/>
  <c r="M16" i="42"/>
  <c r="L16" i="42"/>
  <c r="K16" i="42"/>
  <c r="J16" i="42"/>
  <c r="I16" i="42"/>
  <c r="H16" i="42"/>
  <c r="G16" i="42"/>
  <c r="F16" i="42"/>
  <c r="E16" i="42"/>
  <c r="U15" i="42"/>
  <c r="T15" i="42"/>
  <c r="S15" i="42"/>
  <c r="R15" i="42"/>
  <c r="Q15" i="42"/>
  <c r="P15" i="42"/>
  <c r="O15" i="42"/>
  <c r="N15" i="42"/>
  <c r="M15" i="42"/>
  <c r="L15" i="42"/>
  <c r="K15" i="42"/>
  <c r="J15" i="42"/>
  <c r="I15" i="42"/>
  <c r="H15" i="42"/>
  <c r="G15" i="42"/>
  <c r="F15" i="42"/>
  <c r="E15" i="42"/>
  <c r="AV14" i="42"/>
  <c r="AU14" i="42"/>
  <c r="AT14" i="42"/>
  <c r="AS14" i="42"/>
  <c r="AR14" i="42"/>
  <c r="AQ14" i="42"/>
  <c r="AP14" i="42"/>
  <c r="AO14" i="42"/>
  <c r="AN14" i="42"/>
  <c r="AM14" i="42"/>
  <c r="AL14" i="42"/>
  <c r="AK14" i="42"/>
  <c r="AJ14" i="42"/>
  <c r="AI14" i="42"/>
  <c r="AH14" i="42"/>
  <c r="AG14" i="42"/>
  <c r="AF14" i="42"/>
  <c r="AE14" i="42"/>
  <c r="AD14" i="42"/>
  <c r="AC14" i="42"/>
  <c r="AB14" i="42"/>
  <c r="AA14" i="42"/>
  <c r="Z14" i="42"/>
  <c r="Y14" i="42"/>
  <c r="X14" i="42"/>
  <c r="W14" i="42"/>
  <c r="V14" i="42"/>
  <c r="U14" i="42"/>
  <c r="T14" i="42"/>
  <c r="S14" i="42"/>
  <c r="R14" i="42"/>
  <c r="Q14" i="42"/>
  <c r="P14" i="42"/>
  <c r="O14" i="42"/>
  <c r="N14" i="42"/>
  <c r="M14" i="42"/>
  <c r="L14" i="42"/>
  <c r="K14" i="42"/>
  <c r="J14" i="42"/>
  <c r="I14" i="42"/>
  <c r="H14" i="42"/>
  <c r="G14" i="42"/>
  <c r="F14" i="42"/>
  <c r="E14" i="42"/>
  <c r="W13" i="42"/>
  <c r="V13" i="42"/>
  <c r="U13" i="42"/>
  <c r="T13" i="42"/>
  <c r="S13" i="42"/>
  <c r="R13" i="42"/>
  <c r="Q13" i="42"/>
  <c r="P13" i="42"/>
  <c r="O13" i="42"/>
  <c r="N13" i="42"/>
  <c r="M13" i="42"/>
  <c r="L13" i="42"/>
  <c r="K13" i="42"/>
  <c r="J13" i="42"/>
  <c r="I13" i="42"/>
  <c r="H13" i="42"/>
  <c r="G13" i="42"/>
  <c r="F13" i="42"/>
  <c r="E13" i="42"/>
  <c r="U12" i="42"/>
  <c r="T12" i="42"/>
  <c r="S12" i="42"/>
  <c r="R12" i="42"/>
  <c r="Q12" i="42"/>
  <c r="P12" i="42"/>
  <c r="O12" i="42"/>
  <c r="N12" i="42"/>
  <c r="M12" i="42"/>
  <c r="L12" i="42"/>
  <c r="K12" i="42"/>
  <c r="J12" i="42"/>
  <c r="I12" i="42"/>
  <c r="H12" i="42"/>
  <c r="G12" i="42"/>
  <c r="F12" i="42"/>
  <c r="E12" i="42"/>
  <c r="W11" i="42"/>
  <c r="V11" i="42"/>
  <c r="U11" i="42"/>
  <c r="T11" i="42"/>
  <c r="S11" i="42"/>
  <c r="R11" i="42"/>
  <c r="Q11" i="42"/>
  <c r="P11" i="42"/>
  <c r="O11" i="42"/>
  <c r="N11" i="42"/>
  <c r="M11" i="42"/>
  <c r="L11" i="42"/>
  <c r="K11" i="42"/>
  <c r="J11" i="42"/>
  <c r="I11" i="42"/>
  <c r="H11" i="42"/>
  <c r="G11" i="42"/>
  <c r="F11" i="42"/>
  <c r="E11" i="42"/>
  <c r="W10" i="42"/>
  <c r="V10" i="42"/>
  <c r="U10" i="42"/>
  <c r="T10" i="42"/>
  <c r="S10" i="42"/>
  <c r="R10" i="42"/>
  <c r="Q10" i="42"/>
  <c r="P10" i="42"/>
  <c r="O10" i="42"/>
  <c r="N10" i="42"/>
  <c r="M10" i="42"/>
  <c r="L10" i="42"/>
  <c r="K10" i="42"/>
  <c r="J10" i="42"/>
  <c r="I10" i="42"/>
  <c r="H10" i="42"/>
  <c r="G10" i="42"/>
  <c r="F10" i="42"/>
  <c r="E10" i="42"/>
  <c r="W9" i="42"/>
  <c r="V9" i="42"/>
  <c r="U9" i="42"/>
  <c r="T9" i="42"/>
  <c r="S9" i="42"/>
  <c r="R9" i="42"/>
  <c r="Q9" i="42"/>
  <c r="P9" i="42"/>
  <c r="O9" i="42"/>
  <c r="N9" i="42"/>
  <c r="M9" i="42"/>
  <c r="L9" i="42"/>
  <c r="K9" i="42"/>
  <c r="J9" i="42"/>
  <c r="I9" i="42"/>
  <c r="H9" i="42"/>
  <c r="G9" i="42"/>
  <c r="F9" i="42"/>
  <c r="E9" i="42"/>
  <c r="W8" i="42"/>
  <c r="V8" i="42"/>
  <c r="U8" i="42"/>
  <c r="T8" i="42"/>
  <c r="S8" i="42"/>
  <c r="R8" i="42"/>
  <c r="Q8" i="42"/>
  <c r="P8" i="42"/>
  <c r="O8" i="42"/>
  <c r="N8" i="42"/>
  <c r="M8" i="42"/>
  <c r="L8" i="42"/>
  <c r="K8" i="42"/>
  <c r="J8" i="42"/>
  <c r="I8" i="42"/>
  <c r="H8" i="42"/>
  <c r="G8" i="42"/>
  <c r="F8" i="42"/>
  <c r="E8" i="42"/>
  <c r="AV7" i="42"/>
  <c r="AU7" i="42"/>
  <c r="AT7" i="42"/>
  <c r="AS7" i="42"/>
  <c r="AR7" i="42"/>
  <c r="AQ7" i="42"/>
  <c r="AP7" i="42"/>
  <c r="AO7" i="42"/>
  <c r="AN7" i="42"/>
  <c r="AM7" i="42"/>
  <c r="AL7" i="42"/>
  <c r="AK7" i="42"/>
  <c r="AJ7" i="42"/>
  <c r="AI7" i="42"/>
  <c r="AH7" i="42"/>
  <c r="AG7" i="42"/>
  <c r="AF7" i="42"/>
  <c r="AE7" i="42"/>
  <c r="AD7" i="42"/>
  <c r="AC7" i="42"/>
  <c r="AB7" i="42"/>
  <c r="AA7" i="42"/>
  <c r="Z7" i="42"/>
  <c r="Y7" i="42"/>
  <c r="X7" i="42"/>
  <c r="W7" i="42"/>
  <c r="V7" i="42"/>
  <c r="U7" i="42"/>
  <c r="T7" i="42"/>
  <c r="S7" i="42"/>
  <c r="R7" i="42"/>
  <c r="Q7" i="42"/>
  <c r="P7" i="42"/>
  <c r="O7" i="42"/>
  <c r="N7" i="42"/>
  <c r="M7" i="42"/>
  <c r="L7" i="42"/>
  <c r="K7" i="42"/>
  <c r="J7" i="42"/>
  <c r="I7" i="42"/>
  <c r="H7" i="42"/>
  <c r="G7" i="42"/>
  <c r="F7" i="42"/>
  <c r="E7" i="42"/>
  <c r="W6" i="42"/>
  <c r="V6" i="42"/>
  <c r="U6" i="42"/>
  <c r="T6" i="42"/>
  <c r="S6" i="42"/>
  <c r="R6" i="42"/>
  <c r="Q6" i="42"/>
  <c r="P6" i="42"/>
  <c r="O6" i="42"/>
  <c r="N6" i="42"/>
  <c r="M6" i="42"/>
  <c r="L6" i="42"/>
  <c r="K6" i="42"/>
  <c r="J6" i="42"/>
  <c r="I6" i="42"/>
  <c r="H6" i="42"/>
  <c r="G6" i="42"/>
  <c r="F6" i="42"/>
  <c r="E6" i="42"/>
  <c r="W5" i="42"/>
  <c r="V5" i="42"/>
  <c r="U5" i="42"/>
  <c r="T5" i="42"/>
  <c r="S5" i="42"/>
  <c r="R5" i="42"/>
  <c r="Q5" i="42"/>
  <c r="P5" i="42"/>
  <c r="O5" i="42"/>
  <c r="N5" i="42"/>
  <c r="M5" i="42"/>
  <c r="L5" i="42"/>
  <c r="K5" i="42"/>
  <c r="J5" i="42"/>
  <c r="I5" i="42"/>
  <c r="H5" i="42"/>
  <c r="G5" i="42"/>
  <c r="F5" i="42"/>
  <c r="E5" i="42"/>
  <c r="D36" i="42"/>
  <c r="D35" i="42"/>
  <c r="D34" i="42"/>
  <c r="D33" i="42"/>
  <c r="D32" i="42"/>
  <c r="D31" i="42"/>
  <c r="D30" i="42"/>
  <c r="D29" i="42"/>
  <c r="D28" i="42"/>
  <c r="D27" i="42"/>
  <c r="D26" i="42"/>
  <c r="D25" i="42"/>
  <c r="D24" i="42"/>
  <c r="D23" i="42"/>
  <c r="D22" i="42"/>
  <c r="D21" i="42"/>
  <c r="D20" i="42"/>
  <c r="D19" i="42"/>
  <c r="D18" i="42"/>
  <c r="D17" i="42"/>
  <c r="D16" i="42"/>
  <c r="D15" i="42"/>
  <c r="D14" i="42"/>
  <c r="D13" i="42"/>
  <c r="D12" i="42"/>
  <c r="D11" i="42"/>
  <c r="D10" i="42"/>
  <c r="D9" i="42"/>
  <c r="D8" i="42"/>
  <c r="D7" i="42"/>
  <c r="D6" i="42"/>
  <c r="D5" i="42"/>
  <c r="AL63" i="45"/>
  <c r="AL62" i="45"/>
  <c r="V57" i="45"/>
  <c r="V57" i="46" s="1"/>
  <c r="S57" i="45"/>
  <c r="N57" i="45"/>
  <c r="I57" i="45"/>
  <c r="D57" i="45"/>
  <c r="AI56" i="45"/>
  <c r="AI56" i="46" s="1"/>
  <c r="AD56" i="45"/>
  <c r="AE56" i="45" s="1"/>
  <c r="AE56" i="46" s="1"/>
  <c r="Y56" i="45"/>
  <c r="Y56" i="46" s="1"/>
  <c r="S54" i="45"/>
  <c r="O54" i="45"/>
  <c r="N54" i="45"/>
  <c r="I54" i="45"/>
  <c r="D54" i="45"/>
  <c r="H40" i="45"/>
  <c r="AV38" i="45"/>
  <c r="AQ38" i="45"/>
  <c r="AL38" i="45"/>
  <c r="AG38" i="45"/>
  <c r="AB38" i="45"/>
  <c r="U38" i="45"/>
  <c r="W38" i="45" s="1"/>
  <c r="T38" i="45"/>
  <c r="O38" i="45"/>
  <c r="P38" i="45" s="1"/>
  <c r="K38" i="45"/>
  <c r="J38" i="45"/>
  <c r="E38" i="45"/>
  <c r="F38" i="45" s="1"/>
  <c r="D38" i="45"/>
  <c r="S37" i="45"/>
  <c r="D37" i="45"/>
  <c r="AV36" i="45"/>
  <c r="AQ36" i="45"/>
  <c r="AL36" i="45"/>
  <c r="AG36" i="45"/>
  <c r="AB36" i="45"/>
  <c r="U36" i="45"/>
  <c r="W36" i="45" s="1"/>
  <c r="T36" i="45"/>
  <c r="O36" i="45"/>
  <c r="K36" i="45"/>
  <c r="J36" i="45"/>
  <c r="E36" i="45"/>
  <c r="F36" i="45" s="1"/>
  <c r="T35" i="45"/>
  <c r="O35" i="45"/>
  <c r="O37" i="45" s="1"/>
  <c r="J35" i="45"/>
  <c r="E35" i="45"/>
  <c r="AV34" i="45"/>
  <c r="AF57" i="45"/>
  <c r="AF57" i="46" s="1"/>
  <c r="AD57" i="45"/>
  <c r="AD57" i="46" s="1"/>
  <c r="AG34" i="45"/>
  <c r="AG57" i="45" s="1"/>
  <c r="AG57" i="46" s="1"/>
  <c r="Z57" i="45"/>
  <c r="Z57" i="46" s="1"/>
  <c r="Y57" i="45"/>
  <c r="Y57" i="46" s="1"/>
  <c r="X57" i="45"/>
  <c r="X58" i="45" s="1"/>
  <c r="X58" i="46" s="1"/>
  <c r="U34" i="45"/>
  <c r="T34" i="45"/>
  <c r="T57" i="45" s="1"/>
  <c r="O34" i="45"/>
  <c r="K34" i="45"/>
  <c r="K57" i="45" s="1"/>
  <c r="J34" i="45"/>
  <c r="J57" i="45" s="1"/>
  <c r="F34" i="45"/>
  <c r="E34" i="45"/>
  <c r="E57" i="45" s="1"/>
  <c r="AG33" i="45"/>
  <c r="AG33" i="46" s="1"/>
  <c r="T33" i="45"/>
  <c r="U33" i="45" s="1"/>
  <c r="W33" i="45" s="1"/>
  <c r="W33" i="46" s="1"/>
  <c r="O33" i="45"/>
  <c r="P33" i="45" s="1"/>
  <c r="Q33" i="45" s="1"/>
  <c r="K33" i="45"/>
  <c r="J33" i="45"/>
  <c r="E33" i="45"/>
  <c r="AV32" i="45"/>
  <c r="AQ32" i="45"/>
  <c r="AL32" i="45"/>
  <c r="AG32" i="45"/>
  <c r="AB32" i="45"/>
  <c r="T32" i="45"/>
  <c r="U32" i="45" s="1"/>
  <c r="W32" i="45" s="1"/>
  <c r="P32" i="45"/>
  <c r="O32" i="45"/>
  <c r="J32" i="45"/>
  <c r="G32" i="45"/>
  <c r="F32" i="45"/>
  <c r="H32" i="45" s="1"/>
  <c r="E32" i="45"/>
  <c r="AV31" i="45"/>
  <c r="AQ31" i="45"/>
  <c r="AL31" i="45"/>
  <c r="AG31" i="45"/>
  <c r="AB31" i="45"/>
  <c r="U31" i="45"/>
  <c r="W31" i="45" s="1"/>
  <c r="T31" i="45"/>
  <c r="O31" i="45"/>
  <c r="I31" i="45"/>
  <c r="I37" i="45" s="1"/>
  <c r="H31" i="45"/>
  <c r="G31" i="45"/>
  <c r="AV30" i="45"/>
  <c r="AQ30" i="45"/>
  <c r="AL30" i="45"/>
  <c r="AG30" i="45"/>
  <c r="AB30" i="45"/>
  <c r="U30" i="45"/>
  <c r="W30" i="45" s="1"/>
  <c r="O30" i="45"/>
  <c r="N30" i="45"/>
  <c r="N37" i="45" s="1"/>
  <c r="J30" i="45"/>
  <c r="F30" i="45"/>
  <c r="T29" i="45"/>
  <c r="T37" i="45" s="1"/>
  <c r="O29" i="45"/>
  <c r="J29" i="45"/>
  <c r="E29" i="45"/>
  <c r="S27" i="45"/>
  <c r="T26" i="45"/>
  <c r="O26" i="45"/>
  <c r="K26" i="45"/>
  <c r="J26" i="45"/>
  <c r="G26" i="45"/>
  <c r="F26" i="45"/>
  <c r="E26" i="45"/>
  <c r="H26" i="45" s="1"/>
  <c r="W25" i="45"/>
  <c r="W56" i="45" s="1"/>
  <c r="W56" i="46" s="1"/>
  <c r="U25" i="45"/>
  <c r="T25" i="45"/>
  <c r="R25" i="45"/>
  <c r="Q25" i="45"/>
  <c r="P25" i="45"/>
  <c r="O25" i="45"/>
  <c r="K25" i="45"/>
  <c r="J25" i="45"/>
  <c r="F25" i="45"/>
  <c r="E25" i="45"/>
  <c r="T24" i="45"/>
  <c r="U24" i="45" s="1"/>
  <c r="S24" i="45"/>
  <c r="O24" i="45"/>
  <c r="P24" i="45" s="1"/>
  <c r="N24" i="45"/>
  <c r="N27" i="45" s="1"/>
  <c r="J24" i="45"/>
  <c r="K24" i="45" s="1"/>
  <c r="I24" i="45"/>
  <c r="I27" i="45" s="1"/>
  <c r="F24" i="45"/>
  <c r="G24" i="45" s="1"/>
  <c r="E24" i="45"/>
  <c r="D24" i="45"/>
  <c r="D27" i="45" s="1"/>
  <c r="I22" i="45"/>
  <c r="I55" i="45" s="1"/>
  <c r="D22" i="45"/>
  <c r="AV21" i="45"/>
  <c r="AV21" i="46" s="1"/>
  <c r="AL21" i="45"/>
  <c r="AL21" i="46" s="1"/>
  <c r="AG21" i="45"/>
  <c r="AB21" i="45"/>
  <c r="AB21" i="46" s="1"/>
  <c r="S21" i="45"/>
  <c r="T21" i="45" s="1"/>
  <c r="N21" i="45"/>
  <c r="J21" i="45"/>
  <c r="K21" i="45" s="1"/>
  <c r="L21" i="45" s="1"/>
  <c r="I21" i="45"/>
  <c r="M21" i="45" s="1"/>
  <c r="F21" i="45"/>
  <c r="E21" i="45"/>
  <c r="AQ20" i="45"/>
  <c r="AQ20" i="46" s="1"/>
  <c r="AL20" i="45"/>
  <c r="AL20" i="46" s="1"/>
  <c r="AG20" i="45"/>
  <c r="AG20" i="46" s="1"/>
  <c r="AB20" i="45"/>
  <c r="AB20" i="46" s="1"/>
  <c r="T20" i="45"/>
  <c r="O20" i="45"/>
  <c r="P20" i="45" s="1"/>
  <c r="Q20" i="45" s="1"/>
  <c r="J20" i="45"/>
  <c r="K20" i="45" s="1"/>
  <c r="F20" i="45"/>
  <c r="AV19" i="45"/>
  <c r="AV19" i="46" s="1"/>
  <c r="AQ19" i="45"/>
  <c r="AQ19" i="46" s="1"/>
  <c r="AB19" i="45"/>
  <c r="AB19" i="46" s="1"/>
  <c r="T19" i="45"/>
  <c r="O19" i="45"/>
  <c r="J19" i="45"/>
  <c r="E19" i="45"/>
  <c r="F19" i="45" s="1"/>
  <c r="G19" i="45" s="1"/>
  <c r="AB18" i="45"/>
  <c r="AB18" i="46" s="1"/>
  <c r="U18" i="45"/>
  <c r="W18" i="45" s="1"/>
  <c r="W18" i="46" s="1"/>
  <c r="T18" i="45"/>
  <c r="P18" i="45"/>
  <c r="Q18" i="45" s="1"/>
  <c r="R18" i="45" s="1"/>
  <c r="O18" i="45"/>
  <c r="K18" i="45"/>
  <c r="J18" i="45"/>
  <c r="F18" i="45"/>
  <c r="G18" i="45" s="1"/>
  <c r="E18" i="45"/>
  <c r="AQ17" i="45"/>
  <c r="AQ17" i="46" s="1"/>
  <c r="AL17" i="45"/>
  <c r="AL17" i="46" s="1"/>
  <c r="AG17" i="45"/>
  <c r="T17" i="45"/>
  <c r="U17" i="45" s="1"/>
  <c r="S17" i="45"/>
  <c r="W17" i="45" s="1"/>
  <c r="W17" i="46" s="1"/>
  <c r="O17" i="45"/>
  <c r="P17" i="45" s="1"/>
  <c r="K17" i="45"/>
  <c r="J17" i="45"/>
  <c r="F17" i="45"/>
  <c r="G17" i="45" s="1"/>
  <c r="E17" i="45"/>
  <c r="H17" i="45" s="1"/>
  <c r="AB16" i="45"/>
  <c r="AB16" i="46" s="1"/>
  <c r="T16" i="45"/>
  <c r="U16" i="45" s="1"/>
  <c r="W16" i="45" s="1"/>
  <c r="W16" i="46" s="1"/>
  <c r="O16" i="45"/>
  <c r="J16" i="45"/>
  <c r="E16" i="45"/>
  <c r="AV15" i="45"/>
  <c r="AV15" i="46" s="1"/>
  <c r="AG15" i="45"/>
  <c r="AG15" i="46" s="1"/>
  <c r="AB15" i="45"/>
  <c r="AB15" i="46" s="1"/>
  <c r="U15" i="45"/>
  <c r="T15" i="45"/>
  <c r="W15" i="45" s="1"/>
  <c r="W15" i="46" s="1"/>
  <c r="O15" i="45"/>
  <c r="K15" i="45"/>
  <c r="L15" i="45" s="1"/>
  <c r="M15" i="45" s="1"/>
  <c r="J15" i="45"/>
  <c r="E15" i="45"/>
  <c r="AV13" i="45"/>
  <c r="AQ13" i="45"/>
  <c r="AL13" i="45"/>
  <c r="AG13" i="45"/>
  <c r="AB13" i="45"/>
  <c r="U13" i="45"/>
  <c r="T13" i="45"/>
  <c r="W13" i="45" s="1"/>
  <c r="N13" i="45"/>
  <c r="O13" i="45" s="1"/>
  <c r="J13" i="45"/>
  <c r="K13" i="45" s="1"/>
  <c r="L13" i="45" s="1"/>
  <c r="I13" i="45"/>
  <c r="M13" i="45" s="1"/>
  <c r="E13" i="45"/>
  <c r="F13" i="45" s="1"/>
  <c r="T12" i="45"/>
  <c r="O12" i="45"/>
  <c r="J12" i="45"/>
  <c r="K12" i="45" s="1"/>
  <c r="E12" i="45"/>
  <c r="AV11" i="45"/>
  <c r="AQ11" i="45"/>
  <c r="AL11" i="45"/>
  <c r="AG11" i="45"/>
  <c r="AB11" i="45"/>
  <c r="T11" i="45"/>
  <c r="O11" i="45"/>
  <c r="P11" i="45" s="1"/>
  <c r="Q11" i="45" s="1"/>
  <c r="J11" i="45"/>
  <c r="E11" i="45"/>
  <c r="AA10" i="45"/>
  <c r="AA10" i="46" s="1"/>
  <c r="T10" i="45"/>
  <c r="P10" i="45"/>
  <c r="P54" i="45" s="1"/>
  <c r="O10" i="45"/>
  <c r="J10" i="45"/>
  <c r="F10" i="45"/>
  <c r="G10" i="45" s="1"/>
  <c r="E10" i="45"/>
  <c r="E54" i="45" s="1"/>
  <c r="AU10" i="45"/>
  <c r="AU10" i="46" s="1"/>
  <c r="AS10" i="45"/>
  <c r="AS10" i="46" s="1"/>
  <c r="AP10" i="45"/>
  <c r="AP10" i="46" s="1"/>
  <c r="AO10" i="45"/>
  <c r="AN10" i="45"/>
  <c r="AN10" i="46" s="1"/>
  <c r="AM10" i="45"/>
  <c r="AM10" i="46" s="1"/>
  <c r="AK10" i="45"/>
  <c r="AK10" i="46" s="1"/>
  <c r="AJ10" i="45"/>
  <c r="AJ10" i="46" s="1"/>
  <c r="AI10" i="45"/>
  <c r="AI10" i="46" s="1"/>
  <c r="AH10" i="45"/>
  <c r="AL10" i="45" s="1"/>
  <c r="AL10" i="46" s="1"/>
  <c r="AF10" i="45"/>
  <c r="AF10" i="46" s="1"/>
  <c r="AE10" i="45"/>
  <c r="AE10" i="46" s="1"/>
  <c r="AD10" i="45"/>
  <c r="AD10" i="46" s="1"/>
  <c r="AG9" i="45"/>
  <c r="AG9" i="46" s="1"/>
  <c r="Y10" i="45"/>
  <c r="X10" i="45"/>
  <c r="X10" i="46" s="1"/>
  <c r="V10" i="45"/>
  <c r="V10" i="46" s="1"/>
  <c r="T9" i="45"/>
  <c r="Q9" i="45"/>
  <c r="P9" i="45"/>
  <c r="R9" i="45" s="1"/>
  <c r="O9" i="45"/>
  <c r="K9" i="45"/>
  <c r="J9" i="45"/>
  <c r="E9" i="45"/>
  <c r="AQ8" i="45"/>
  <c r="AQ8" i="46" s="1"/>
  <c r="AL8" i="45"/>
  <c r="AL8" i="46" s="1"/>
  <c r="AG8" i="45"/>
  <c r="U8" i="45"/>
  <c r="W8" i="45" s="1"/>
  <c r="W8" i="46" s="1"/>
  <c r="T8" i="45"/>
  <c r="O8" i="45"/>
  <c r="P8" i="45" s="1"/>
  <c r="K8" i="45"/>
  <c r="L8" i="45" s="1"/>
  <c r="J8" i="45"/>
  <c r="F8" i="45"/>
  <c r="G8" i="45" s="1"/>
  <c r="E8" i="45"/>
  <c r="T7" i="45"/>
  <c r="U7" i="45" s="1"/>
  <c r="O7" i="45"/>
  <c r="P7" i="45" s="1"/>
  <c r="J7" i="45"/>
  <c r="F7" i="45"/>
  <c r="E7" i="45"/>
  <c r="E22" i="45" s="1"/>
  <c r="L6" i="45"/>
  <c r="AB66" i="43"/>
  <c r="AG66" i="43" s="1"/>
  <c r="AL66" i="43" s="1"/>
  <c r="AQ66" i="43" s="1"/>
  <c r="AV66" i="43" s="1"/>
  <c r="W66" i="43"/>
  <c r="T63" i="43"/>
  <c r="Q63" i="43"/>
  <c r="P63" i="43"/>
  <c r="O63" i="43"/>
  <c r="G63" i="43"/>
  <c r="F63" i="43"/>
  <c r="D63" i="43"/>
  <c r="AU60" i="43"/>
  <c r="AR60" i="43" s="1"/>
  <c r="AT60" i="43"/>
  <c r="AS60" i="43"/>
  <c r="AP60" i="43"/>
  <c r="AO60" i="43"/>
  <c r="AN60" i="43"/>
  <c r="AM60" i="43"/>
  <c r="AK60" i="43"/>
  <c r="AJ60" i="43"/>
  <c r="AI60" i="43"/>
  <c r="AH60" i="43"/>
  <c r="AF60" i="43"/>
  <c r="AE60" i="43"/>
  <c r="AD60" i="43"/>
  <c r="AC60" i="43"/>
  <c r="AA60" i="43"/>
  <c r="Y60" i="43"/>
  <c r="X60" i="43"/>
  <c r="V60" i="43"/>
  <c r="AD59" i="43"/>
  <c r="Z60" i="43" s="1"/>
  <c r="U55" i="43"/>
  <c r="T55" i="43"/>
  <c r="S55" i="43"/>
  <c r="Q55" i="43"/>
  <c r="V55" i="43" s="1"/>
  <c r="P55" i="43"/>
  <c r="O55" i="43"/>
  <c r="N55" i="43"/>
  <c r="L55" i="43"/>
  <c r="K55" i="43"/>
  <c r="J55" i="43"/>
  <c r="I55" i="43"/>
  <c r="G55" i="43"/>
  <c r="F55" i="43"/>
  <c r="E55" i="43"/>
  <c r="D55" i="43"/>
  <c r="U54" i="43"/>
  <c r="T54" i="43"/>
  <c r="S54" i="43"/>
  <c r="Q54" i="43"/>
  <c r="P54" i="43"/>
  <c r="O54" i="43"/>
  <c r="N54" i="43"/>
  <c r="L54" i="43"/>
  <c r="K54" i="43"/>
  <c r="J54" i="43"/>
  <c r="I54" i="43"/>
  <c r="G54" i="43"/>
  <c r="F54" i="43"/>
  <c r="E54" i="43"/>
  <c r="D54" i="43"/>
  <c r="Y52" i="43"/>
  <c r="P52" i="43"/>
  <c r="N52" i="43"/>
  <c r="L52" i="43"/>
  <c r="K52" i="43"/>
  <c r="I52" i="43"/>
  <c r="E52" i="43"/>
  <c r="AK51" i="43"/>
  <c r="AE51" i="43"/>
  <c r="AE52" i="43" s="1"/>
  <c r="AD51" i="43"/>
  <c r="AI51" i="43" s="1"/>
  <c r="AC51" i="43"/>
  <c r="AC52" i="43" s="1"/>
  <c r="Z51" i="43"/>
  <c r="Y51" i="43"/>
  <c r="X51" i="43"/>
  <c r="V51" i="43"/>
  <c r="AA51" i="43" s="1"/>
  <c r="AF51" i="43" s="1"/>
  <c r="Y50" i="43"/>
  <c r="X50" i="43"/>
  <c r="P50" i="43"/>
  <c r="O50" i="43"/>
  <c r="K50" i="43"/>
  <c r="E50" i="43"/>
  <c r="D50" i="43"/>
  <c r="AD49" i="43"/>
  <c r="AC49" i="43"/>
  <c r="Z49" i="43"/>
  <c r="AE49" i="43" s="1"/>
  <c r="Y49" i="43"/>
  <c r="X49" i="43"/>
  <c r="V49" i="43"/>
  <c r="AA49" i="43" s="1"/>
  <c r="AF49" i="43" s="1"/>
  <c r="AK49" i="43" s="1"/>
  <c r="P48" i="43"/>
  <c r="O48" i="43"/>
  <c r="K48" i="43"/>
  <c r="J48" i="43"/>
  <c r="I48" i="43"/>
  <c r="AF47" i="43"/>
  <c r="AK47" i="43" s="1"/>
  <c r="AE47" i="43"/>
  <c r="AE48" i="43" s="1"/>
  <c r="AA47" i="43"/>
  <c r="Z47" i="43"/>
  <c r="Y47" i="43"/>
  <c r="AD47" i="43" s="1"/>
  <c r="X47" i="43"/>
  <c r="AC47" i="43" s="1"/>
  <c r="V47" i="43"/>
  <c r="AU46" i="43"/>
  <c r="AT46" i="43"/>
  <c r="AS46" i="43"/>
  <c r="AR46" i="43"/>
  <c r="AP46" i="43"/>
  <c r="AO46" i="43"/>
  <c r="AN46" i="43"/>
  <c r="AM46" i="43"/>
  <c r="AK46" i="43"/>
  <c r="AK50" i="43" s="1"/>
  <c r="AJ46" i="43"/>
  <c r="AI46" i="43"/>
  <c r="AI52" i="43" s="1"/>
  <c r="AH46" i="43"/>
  <c r="AF46" i="43"/>
  <c r="AF48" i="43" s="1"/>
  <c r="AE46" i="43"/>
  <c r="AD46" i="43"/>
  <c r="AD52" i="43" s="1"/>
  <c r="AC46" i="43"/>
  <c r="AA46" i="43"/>
  <c r="Z46" i="43"/>
  <c r="Y46" i="43"/>
  <c r="Y48" i="43" s="1"/>
  <c r="X46" i="43"/>
  <c r="X52" i="43" s="1"/>
  <c r="V46" i="43"/>
  <c r="V50" i="43" s="1"/>
  <c r="U46" i="43"/>
  <c r="U50" i="43" s="1"/>
  <c r="T46" i="43"/>
  <c r="T50" i="43" s="1"/>
  <c r="S46" i="43"/>
  <c r="S50" i="43" s="1"/>
  <c r="Q46" i="43"/>
  <c r="Q50" i="43" s="1"/>
  <c r="P46" i="43"/>
  <c r="O46" i="43"/>
  <c r="O52" i="43" s="1"/>
  <c r="N46" i="43"/>
  <c r="N48" i="43" s="1"/>
  <c r="L46" i="43"/>
  <c r="L48" i="43" s="1"/>
  <c r="K46" i="43"/>
  <c r="J46" i="43"/>
  <c r="J52" i="43" s="1"/>
  <c r="I46" i="43"/>
  <c r="I50" i="43" s="1"/>
  <c r="G46" i="43"/>
  <c r="F46" i="43"/>
  <c r="E46" i="43"/>
  <c r="E48" i="43" s="1"/>
  <c r="D46" i="43"/>
  <c r="D52" i="43" s="1"/>
  <c r="N41" i="43"/>
  <c r="N42" i="43" s="1"/>
  <c r="M41" i="43"/>
  <c r="L41" i="43"/>
  <c r="K41" i="43"/>
  <c r="J41" i="43"/>
  <c r="F41" i="43"/>
  <c r="F62" i="43" s="1"/>
  <c r="V40" i="43"/>
  <c r="X40" i="43" s="1"/>
  <c r="Y40" i="43" s="1"/>
  <c r="Z40" i="43" s="1"/>
  <c r="AA40" i="43" s="1"/>
  <c r="R40" i="43"/>
  <c r="M40" i="43"/>
  <c r="H40" i="43"/>
  <c r="Y39" i="43"/>
  <c r="Z39" i="43" s="1"/>
  <c r="AA39" i="43" s="1"/>
  <c r="X39" i="43"/>
  <c r="V39" i="43"/>
  <c r="W39" i="43" s="1"/>
  <c r="R39" i="43"/>
  <c r="M39" i="43"/>
  <c r="H39" i="43"/>
  <c r="R38" i="43"/>
  <c r="M38" i="43"/>
  <c r="H38" i="43"/>
  <c r="U37" i="43"/>
  <c r="T37" i="43"/>
  <c r="T41" i="43" s="1"/>
  <c r="S37" i="43"/>
  <c r="S41" i="43" s="1"/>
  <c r="Q37" i="43"/>
  <c r="R37" i="43" s="1"/>
  <c r="R41" i="43" s="1"/>
  <c r="P37" i="43"/>
  <c r="P41" i="43" s="1"/>
  <c r="P62" i="43" s="1"/>
  <c r="O37" i="43"/>
  <c r="O41" i="43" s="1"/>
  <c r="O42" i="43" s="1"/>
  <c r="N37" i="43"/>
  <c r="M37" i="43"/>
  <c r="L37" i="43"/>
  <c r="K37" i="43"/>
  <c r="J37" i="43"/>
  <c r="I37" i="43"/>
  <c r="I41" i="43" s="1"/>
  <c r="G37" i="43"/>
  <c r="G41" i="43" s="1"/>
  <c r="F37" i="43"/>
  <c r="E37" i="43"/>
  <c r="E41" i="43" s="1"/>
  <c r="D37" i="43"/>
  <c r="D41" i="43" s="1"/>
  <c r="Q35" i="43"/>
  <c r="L35" i="43"/>
  <c r="L42" i="43" s="1"/>
  <c r="X34" i="43"/>
  <c r="Y34" i="43" s="1"/>
  <c r="Z34" i="43" s="1"/>
  <c r="AA34" i="43" s="1"/>
  <c r="W34" i="43"/>
  <c r="V34" i="43"/>
  <c r="R34" i="43"/>
  <c r="M34" i="43"/>
  <c r="H34" i="43"/>
  <c r="AC33" i="43"/>
  <c r="AD33" i="43" s="1"/>
  <c r="AE33" i="43" s="1"/>
  <c r="AF33" i="43" s="1"/>
  <c r="V33" i="43"/>
  <c r="X33" i="43" s="1"/>
  <c r="Y33" i="43" s="1"/>
  <c r="Z33" i="43" s="1"/>
  <c r="AA33" i="43" s="1"/>
  <c r="AB33" i="43" s="1"/>
  <c r="R33" i="43"/>
  <c r="M33" i="43"/>
  <c r="H33" i="43"/>
  <c r="Z32" i="43"/>
  <c r="AA32" i="43" s="1"/>
  <c r="V32" i="43"/>
  <c r="X32" i="43" s="1"/>
  <c r="Y32" i="43" s="1"/>
  <c r="R32" i="43"/>
  <c r="M32" i="43"/>
  <c r="H32" i="43"/>
  <c r="R31" i="43"/>
  <c r="M31" i="43"/>
  <c r="H31" i="43"/>
  <c r="T30" i="43"/>
  <c r="T35" i="43" s="1"/>
  <c r="S30" i="43"/>
  <c r="S35" i="43" s="1"/>
  <c r="Q30" i="43"/>
  <c r="P30" i="43"/>
  <c r="P35" i="43" s="1"/>
  <c r="O30" i="43"/>
  <c r="O35" i="43" s="1"/>
  <c r="L30" i="43"/>
  <c r="G30" i="43"/>
  <c r="G35" i="43" s="1"/>
  <c r="F30" i="43"/>
  <c r="F35" i="43" s="1"/>
  <c r="D30" i="43"/>
  <c r="D35" i="43" s="1"/>
  <c r="AV29" i="43"/>
  <c r="AQ29" i="43"/>
  <c r="AL29" i="43"/>
  <c r="AG29" i="43"/>
  <c r="AB29" i="43"/>
  <c r="W29" i="43"/>
  <c r="R29" i="43"/>
  <c r="M29" i="43"/>
  <c r="H29" i="43"/>
  <c r="U28" i="43"/>
  <c r="U63" i="43" s="1"/>
  <c r="S28" i="43"/>
  <c r="S63" i="43" s="1"/>
  <c r="R28" i="43"/>
  <c r="R67" i="43" s="1"/>
  <c r="R64" i="43" s="1"/>
  <c r="R64" i="44" s="1"/>
  <c r="N28" i="43"/>
  <c r="N30" i="43" s="1"/>
  <c r="N35" i="43" s="1"/>
  <c r="M28" i="43"/>
  <c r="M67" i="43" s="1"/>
  <c r="M64" i="43" s="1"/>
  <c r="M64" i="44" s="1"/>
  <c r="L28" i="43"/>
  <c r="L62" i="43" s="1"/>
  <c r="K28" i="43"/>
  <c r="K62" i="43" s="1"/>
  <c r="J28" i="43"/>
  <c r="J62" i="43" s="1"/>
  <c r="I28" i="43"/>
  <c r="H28" i="43"/>
  <c r="E28" i="43"/>
  <c r="E30" i="43" s="1"/>
  <c r="E35" i="43" s="1"/>
  <c r="X27" i="43"/>
  <c r="Y27" i="43" s="1"/>
  <c r="Z27" i="43" s="1"/>
  <c r="AA27" i="43" s="1"/>
  <c r="W27" i="43"/>
  <c r="V27" i="43"/>
  <c r="R27" i="43"/>
  <c r="M27" i="43"/>
  <c r="H27" i="43"/>
  <c r="V26" i="43"/>
  <c r="X26" i="43" s="1"/>
  <c r="Y26" i="43" s="1"/>
  <c r="Z26" i="43" s="1"/>
  <c r="AA26" i="43" s="1"/>
  <c r="R26" i="43"/>
  <c r="M26" i="43"/>
  <c r="H26" i="43"/>
  <c r="T25" i="43"/>
  <c r="U25" i="43" s="1"/>
  <c r="R25" i="43"/>
  <c r="M25" i="43"/>
  <c r="H25" i="43"/>
  <c r="X24" i="43"/>
  <c r="Y24" i="43" s="1"/>
  <c r="Z24" i="43" s="1"/>
  <c r="AA24" i="43" s="1"/>
  <c r="W24" i="43"/>
  <c r="V24" i="43"/>
  <c r="R24" i="43"/>
  <c r="M24" i="43"/>
  <c r="H24" i="43"/>
  <c r="V23" i="43"/>
  <c r="X23" i="43" s="1"/>
  <c r="Y23" i="43" s="1"/>
  <c r="R23" i="43"/>
  <c r="M23" i="43"/>
  <c r="H23" i="43"/>
  <c r="W22" i="43"/>
  <c r="W22" i="44" s="1"/>
  <c r="R22" i="43"/>
  <c r="R30" i="43" s="1"/>
  <c r="R35" i="43" s="1"/>
  <c r="M22" i="43"/>
  <c r="M30" i="43" s="1"/>
  <c r="M35" i="43" s="1"/>
  <c r="H22" i="43"/>
  <c r="V19" i="43"/>
  <c r="R19" i="43"/>
  <c r="M19" i="43"/>
  <c r="H19" i="43"/>
  <c r="X18" i="43"/>
  <c r="Y18" i="43" s="1"/>
  <c r="Z18" i="43" s="1"/>
  <c r="AA18" i="43" s="1"/>
  <c r="V18" i="43"/>
  <c r="W18" i="43" s="1"/>
  <c r="R18" i="43"/>
  <c r="M18" i="43"/>
  <c r="H18" i="43"/>
  <c r="R17" i="43"/>
  <c r="M17" i="43"/>
  <c r="H17" i="43"/>
  <c r="R16" i="43"/>
  <c r="M16" i="43"/>
  <c r="H16" i="43"/>
  <c r="H55" i="43" s="1"/>
  <c r="V15" i="43"/>
  <c r="X15" i="43" s="1"/>
  <c r="Y15" i="43" s="1"/>
  <c r="Z15" i="43" s="1"/>
  <c r="AA15" i="43" s="1"/>
  <c r="AB15" i="43" s="1"/>
  <c r="R15" i="43"/>
  <c r="M15" i="43"/>
  <c r="H15" i="43"/>
  <c r="R14" i="43"/>
  <c r="M14" i="43"/>
  <c r="H14" i="43"/>
  <c r="W13" i="43"/>
  <c r="V13" i="43"/>
  <c r="X13" i="43" s="1"/>
  <c r="Y13" i="43" s="1"/>
  <c r="Z13" i="43" s="1"/>
  <c r="AA13" i="43" s="1"/>
  <c r="R13" i="43"/>
  <c r="M13" i="43"/>
  <c r="H13" i="43"/>
  <c r="R12" i="43"/>
  <c r="M12" i="43"/>
  <c r="H12" i="43"/>
  <c r="F11" i="43"/>
  <c r="F20" i="43" s="1"/>
  <c r="F53" i="43" s="1"/>
  <c r="F53" i="44" s="1"/>
  <c r="E11" i="43"/>
  <c r="E20" i="43" s="1"/>
  <c r="E53" i="43" s="1"/>
  <c r="E53" i="44" s="1"/>
  <c r="W10" i="43"/>
  <c r="V10" i="43"/>
  <c r="X10" i="43" s="1"/>
  <c r="Y10" i="43" s="1"/>
  <c r="Z10" i="43" s="1"/>
  <c r="AA10" i="43" s="1"/>
  <c r="R10" i="43"/>
  <c r="M10" i="43"/>
  <c r="H10" i="43"/>
  <c r="AB9" i="43"/>
  <c r="AB9" i="44" s="1"/>
  <c r="W9" i="43"/>
  <c r="W9" i="44" s="1"/>
  <c r="R9" i="43"/>
  <c r="M9" i="43"/>
  <c r="H9" i="43"/>
  <c r="AG8" i="43"/>
  <c r="AG8" i="44" s="1"/>
  <c r="AB8" i="43"/>
  <c r="AB8" i="44" s="1"/>
  <c r="W8" i="43"/>
  <c r="W8" i="44" s="1"/>
  <c r="R8" i="43"/>
  <c r="M8" i="43"/>
  <c r="H8" i="43"/>
  <c r="R7" i="43"/>
  <c r="M7" i="43"/>
  <c r="H7" i="43"/>
  <c r="H54" i="43" s="1"/>
  <c r="U11" i="43"/>
  <c r="U20" i="43" s="1"/>
  <c r="U53" i="43" s="1"/>
  <c r="U53" i="44" s="1"/>
  <c r="T11" i="43"/>
  <c r="T20" i="43" s="1"/>
  <c r="T53" i="43" s="1"/>
  <c r="T53" i="44" s="1"/>
  <c r="S11" i="43"/>
  <c r="S20" i="43" s="1"/>
  <c r="S53" i="43" s="1"/>
  <c r="S53" i="44" s="1"/>
  <c r="R6" i="43"/>
  <c r="R6" i="44" s="1"/>
  <c r="Q11" i="43"/>
  <c r="Q20" i="43" s="1"/>
  <c r="Q53" i="43" s="1"/>
  <c r="Q53" i="44" s="1"/>
  <c r="P11" i="43"/>
  <c r="P20" i="43" s="1"/>
  <c r="P53" i="43" s="1"/>
  <c r="P53" i="44" s="1"/>
  <c r="O11" i="43"/>
  <c r="O20" i="43" s="1"/>
  <c r="O53" i="43" s="1"/>
  <c r="O53" i="44" s="1"/>
  <c r="N11" i="43"/>
  <c r="N20" i="43" s="1"/>
  <c r="N53" i="43" s="1"/>
  <c r="N53" i="44" s="1"/>
  <c r="L11" i="43"/>
  <c r="L20" i="43" s="1"/>
  <c r="L53" i="43" s="1"/>
  <c r="L53" i="44" s="1"/>
  <c r="K11" i="43"/>
  <c r="K20" i="43" s="1"/>
  <c r="K53" i="43" s="1"/>
  <c r="K53" i="44" s="1"/>
  <c r="J11" i="43"/>
  <c r="J20" i="43" s="1"/>
  <c r="J53" i="43" s="1"/>
  <c r="J53" i="44" s="1"/>
  <c r="I11" i="43"/>
  <c r="I11" i="44" s="1"/>
  <c r="G11" i="43"/>
  <c r="G20" i="43" s="1"/>
  <c r="G53" i="43" s="1"/>
  <c r="G53" i="44" s="1"/>
  <c r="D11" i="43"/>
  <c r="D20" i="43" s="1"/>
  <c r="D53" i="43" s="1"/>
  <c r="D53" i="44" s="1"/>
  <c r="U172" i="41"/>
  <c r="T172" i="41"/>
  <c r="Q172" i="41"/>
  <c r="P172" i="41"/>
  <c r="P173" i="41" s="1"/>
  <c r="O172" i="41"/>
  <c r="N172" i="41"/>
  <c r="K172" i="41"/>
  <c r="T171" i="41"/>
  <c r="Q171" i="41"/>
  <c r="F171" i="41"/>
  <c r="E171" i="41"/>
  <c r="Y168" i="41"/>
  <c r="Y170" i="41" s="1"/>
  <c r="V168" i="41"/>
  <c r="V170" i="41" s="1"/>
  <c r="U168" i="41"/>
  <c r="U170" i="41" s="1"/>
  <c r="U173" i="41" s="1"/>
  <c r="V173" i="41" s="1"/>
  <c r="X173" i="41" s="1"/>
  <c r="Y173" i="41" s="1"/>
  <c r="Z173" i="41" s="1"/>
  <c r="AA173" i="41" s="1"/>
  <c r="AC173" i="41" s="1"/>
  <c r="AD173" i="41" s="1"/>
  <c r="AE173" i="41" s="1"/>
  <c r="AF173" i="41" s="1"/>
  <c r="AH173" i="41" s="1"/>
  <c r="AI173" i="41" s="1"/>
  <c r="AJ173" i="41" s="1"/>
  <c r="AK173" i="41" s="1"/>
  <c r="AM173" i="41" s="1"/>
  <c r="AN173" i="41" s="1"/>
  <c r="AO173" i="41" s="1"/>
  <c r="AP173" i="41" s="1"/>
  <c r="AR173" i="41" s="1"/>
  <c r="AS173" i="41" s="1"/>
  <c r="AT173" i="41" s="1"/>
  <c r="AU173" i="41" s="1"/>
  <c r="T168" i="41"/>
  <c r="T170" i="41" s="1"/>
  <c r="T18" i="41" s="1"/>
  <c r="W18" i="41" s="1"/>
  <c r="Q168" i="41"/>
  <c r="Q170" i="41" s="1"/>
  <c r="Q18" i="41" s="1"/>
  <c r="P168" i="41"/>
  <c r="P170" i="41" s="1"/>
  <c r="O168" i="41"/>
  <c r="O170" i="41" s="1"/>
  <c r="N168" i="41"/>
  <c r="N170" i="41" s="1"/>
  <c r="N173" i="41" s="1"/>
  <c r="L168" i="41"/>
  <c r="L170" i="41" s="1"/>
  <c r="L173" i="41" s="1"/>
  <c r="J168" i="41"/>
  <c r="J170" i="41" s="1"/>
  <c r="J173" i="41" s="1"/>
  <c r="I168" i="41"/>
  <c r="I170" i="41" s="1"/>
  <c r="I173" i="41" s="1"/>
  <c r="G168" i="41"/>
  <c r="G170" i="41" s="1"/>
  <c r="G173" i="41" s="1"/>
  <c r="F168" i="41"/>
  <c r="F170" i="41" s="1"/>
  <c r="F173" i="41" s="1"/>
  <c r="E168" i="41"/>
  <c r="E170" i="41" s="1"/>
  <c r="E173" i="41" s="1"/>
  <c r="AR167" i="41"/>
  <c r="AM167" i="41"/>
  <c r="AH167" i="41"/>
  <c r="AC167" i="41"/>
  <c r="X167" i="41"/>
  <c r="H167" i="41"/>
  <c r="AR166" i="41"/>
  <c r="AM166" i="41"/>
  <c r="AH166" i="41"/>
  <c r="AC166" i="41"/>
  <c r="X166" i="41"/>
  <c r="H166" i="41"/>
  <c r="Z165" i="41"/>
  <c r="AA165" i="41" s="1"/>
  <c r="AC165" i="41" s="1"/>
  <c r="AD165" i="41" s="1"/>
  <c r="AE165" i="41" s="1"/>
  <c r="AF165" i="41" s="1"/>
  <c r="AH165" i="41" s="1"/>
  <c r="AI165" i="41" s="1"/>
  <c r="AJ165" i="41" s="1"/>
  <c r="AK165" i="41" s="1"/>
  <c r="AM165" i="41" s="1"/>
  <c r="AN165" i="41" s="1"/>
  <c r="AO165" i="41" s="1"/>
  <c r="AP165" i="41" s="1"/>
  <c r="AR165" i="41" s="1"/>
  <c r="AS165" i="41" s="1"/>
  <c r="AT165" i="41" s="1"/>
  <c r="AU165" i="41" s="1"/>
  <c r="Y165" i="41"/>
  <c r="X165" i="41"/>
  <c r="S165" i="41"/>
  <c r="S168" i="41" s="1"/>
  <c r="S170" i="41" s="1"/>
  <c r="S173" i="41" s="1"/>
  <c r="G165" i="41"/>
  <c r="D165" i="41"/>
  <c r="H165" i="41" s="1"/>
  <c r="AR164" i="41"/>
  <c r="AM164" i="41"/>
  <c r="AH164" i="41"/>
  <c r="AC164" i="41"/>
  <c r="X164" i="41"/>
  <c r="X168" i="41" s="1"/>
  <c r="X170" i="41" s="1"/>
  <c r="H164" i="41"/>
  <c r="D164" i="41"/>
  <c r="Z163" i="41"/>
  <c r="AA163" i="41" s="1"/>
  <c r="K163" i="41"/>
  <c r="K168" i="41" s="1"/>
  <c r="K170" i="41" s="1"/>
  <c r="G163" i="41"/>
  <c r="D163" i="41"/>
  <c r="H163" i="41" s="1"/>
  <c r="F161" i="41"/>
  <c r="E161" i="41"/>
  <c r="E158" i="41"/>
  <c r="E151" i="41" s="1"/>
  <c r="D157" i="41"/>
  <c r="D158" i="41" s="1"/>
  <c r="AD155" i="41"/>
  <c r="AD155" i="42" s="1"/>
  <c r="AC155" i="41"/>
  <c r="AC155" i="42" s="1"/>
  <c r="AA155" i="41"/>
  <c r="Z155" i="41"/>
  <c r="Y155" i="41"/>
  <c r="X155" i="41"/>
  <c r="V155" i="41"/>
  <c r="U155" i="41"/>
  <c r="W155" i="41" s="1"/>
  <c r="Q155" i="41"/>
  <c r="Q152" i="41" s="1"/>
  <c r="P155" i="41"/>
  <c r="P151" i="41" s="1"/>
  <c r="O155" i="41"/>
  <c r="O151" i="41" s="1"/>
  <c r="N155" i="41"/>
  <c r="R155" i="41" s="1"/>
  <c r="L155" i="41"/>
  <c r="K155" i="41"/>
  <c r="J155" i="41"/>
  <c r="I155" i="41"/>
  <c r="M155" i="41" s="1"/>
  <c r="G155" i="41"/>
  <c r="E155" i="41"/>
  <c r="AV154" i="41"/>
  <c r="AQ154" i="41"/>
  <c r="AK34" i="45"/>
  <c r="AG154" i="41"/>
  <c r="AG154" i="42" s="1"/>
  <c r="AB154" i="41"/>
  <c r="V154" i="41"/>
  <c r="T154" i="41"/>
  <c r="S154" i="41"/>
  <c r="W154" i="41" s="1"/>
  <c r="R154" i="41"/>
  <c r="M154" i="41"/>
  <c r="F154" i="41"/>
  <c r="V153" i="41"/>
  <c r="U152" i="41"/>
  <c r="T152" i="41"/>
  <c r="S152" i="41"/>
  <c r="P152" i="41"/>
  <c r="O152" i="41"/>
  <c r="N152" i="41"/>
  <c r="J152" i="41"/>
  <c r="I152" i="41"/>
  <c r="E152" i="41"/>
  <c r="U151" i="41"/>
  <c r="T151" i="41"/>
  <c r="S151" i="41"/>
  <c r="Q151" i="41"/>
  <c r="N151" i="41"/>
  <c r="J151" i="41"/>
  <c r="I151" i="41"/>
  <c r="V145" i="41"/>
  <c r="X145" i="41" s="1"/>
  <c r="Y145" i="41" s="1"/>
  <c r="Z145" i="41" s="1"/>
  <c r="AA145" i="41" s="1"/>
  <c r="AC145" i="41" s="1"/>
  <c r="AD145" i="41" s="1"/>
  <c r="AE145" i="41" s="1"/>
  <c r="AF145" i="41" s="1"/>
  <c r="AH145" i="41" s="1"/>
  <c r="AI145" i="41" s="1"/>
  <c r="AJ145" i="41" s="1"/>
  <c r="AK145" i="41" s="1"/>
  <c r="AM145" i="41" s="1"/>
  <c r="AN145" i="41" s="1"/>
  <c r="AO145" i="41" s="1"/>
  <c r="AP145" i="41" s="1"/>
  <c r="AR145" i="41" s="1"/>
  <c r="AS145" i="41" s="1"/>
  <c r="AT145" i="41" s="1"/>
  <c r="AU145" i="41" s="1"/>
  <c r="AU145" i="42" s="1"/>
  <c r="V144" i="41"/>
  <c r="X144" i="41" s="1"/>
  <c r="Y144" i="41" s="1"/>
  <c r="Z144" i="41" s="1"/>
  <c r="AA144" i="41" s="1"/>
  <c r="AC144" i="41" s="1"/>
  <c r="AD144" i="41" s="1"/>
  <c r="AE144" i="41" s="1"/>
  <c r="AF144" i="41" s="1"/>
  <c r="AH144" i="41" s="1"/>
  <c r="AH144" i="42" s="1"/>
  <c r="AC143" i="41"/>
  <c r="U136" i="41"/>
  <c r="T136" i="41"/>
  <c r="S136" i="41"/>
  <c r="Q136" i="41"/>
  <c r="P136" i="41"/>
  <c r="O136" i="41"/>
  <c r="N136" i="41"/>
  <c r="L136" i="41"/>
  <c r="K136" i="41"/>
  <c r="J136" i="41"/>
  <c r="I136" i="41"/>
  <c r="F136" i="41"/>
  <c r="E136" i="41"/>
  <c r="D136" i="41"/>
  <c r="U135" i="41"/>
  <c r="T135" i="41"/>
  <c r="S135" i="41"/>
  <c r="Q135" i="41"/>
  <c r="P135" i="41"/>
  <c r="O135" i="41"/>
  <c r="N135" i="41"/>
  <c r="L135" i="41"/>
  <c r="K135" i="41"/>
  <c r="J135" i="41"/>
  <c r="I135" i="41"/>
  <c r="F135" i="41"/>
  <c r="E135" i="41"/>
  <c r="D135" i="41"/>
  <c r="U134" i="41"/>
  <c r="T134" i="41"/>
  <c r="S134" i="41"/>
  <c r="Q134" i="41"/>
  <c r="P134" i="41"/>
  <c r="O134" i="41"/>
  <c r="N134" i="41"/>
  <c r="L134" i="41"/>
  <c r="K134" i="41"/>
  <c r="J134" i="41"/>
  <c r="I134" i="41"/>
  <c r="F134" i="41"/>
  <c r="E134" i="41"/>
  <c r="D134" i="41"/>
  <c r="U133" i="41"/>
  <c r="T133" i="41"/>
  <c r="S133" i="41"/>
  <c r="Q133" i="41"/>
  <c r="P133" i="41"/>
  <c r="O133" i="41"/>
  <c r="N133" i="41"/>
  <c r="L133" i="41"/>
  <c r="K133" i="41"/>
  <c r="J133" i="41"/>
  <c r="I133" i="41"/>
  <c r="F133" i="41"/>
  <c r="E133" i="41"/>
  <c r="D133" i="41"/>
  <c r="T131" i="41"/>
  <c r="S131" i="41"/>
  <c r="Q131" i="41"/>
  <c r="U130" i="41"/>
  <c r="U131" i="41" s="1"/>
  <c r="T130" i="41"/>
  <c r="S130" i="41"/>
  <c r="Q130" i="41"/>
  <c r="P130" i="41"/>
  <c r="P131" i="41" s="1"/>
  <c r="O130" i="41"/>
  <c r="O131" i="41" s="1"/>
  <c r="N130" i="41"/>
  <c r="N131" i="41" s="1"/>
  <c r="L130" i="41"/>
  <c r="L131" i="41" s="1"/>
  <c r="K130" i="41"/>
  <c r="K131" i="41" s="1"/>
  <c r="J130" i="41"/>
  <c r="J131" i="41" s="1"/>
  <c r="I130" i="41"/>
  <c r="I131" i="41" s="1"/>
  <c r="F130" i="41"/>
  <c r="F131" i="41" s="1"/>
  <c r="E130" i="41"/>
  <c r="E131" i="41" s="1"/>
  <c r="D130" i="41"/>
  <c r="D131" i="41" s="1"/>
  <c r="W129" i="41"/>
  <c r="V129" i="41"/>
  <c r="X129" i="41" s="1"/>
  <c r="R129" i="41"/>
  <c r="M129" i="41"/>
  <c r="AV128" i="41"/>
  <c r="AQ128" i="41"/>
  <c r="AL128" i="41"/>
  <c r="AG128" i="41"/>
  <c r="AB128" i="41"/>
  <c r="W128" i="41"/>
  <c r="R128" i="41"/>
  <c r="M128" i="41"/>
  <c r="R127" i="41"/>
  <c r="M127" i="41"/>
  <c r="AV126" i="41"/>
  <c r="AQ126" i="41"/>
  <c r="AL126" i="41"/>
  <c r="AG126" i="41"/>
  <c r="AB126" i="41"/>
  <c r="W126" i="41"/>
  <c r="R126" i="41"/>
  <c r="M126" i="41"/>
  <c r="M130" i="41" s="1"/>
  <c r="G126" i="41"/>
  <c r="G130" i="41" s="1"/>
  <c r="G131" i="41" s="1"/>
  <c r="AV125" i="41"/>
  <c r="AQ125" i="41"/>
  <c r="AL125" i="41"/>
  <c r="AG125" i="41"/>
  <c r="AB125" i="41"/>
  <c r="W125" i="41"/>
  <c r="R125" i="41"/>
  <c r="R130" i="41" s="1"/>
  <c r="M125" i="41"/>
  <c r="U124" i="41"/>
  <c r="T124" i="41"/>
  <c r="S124" i="41"/>
  <c r="Q124" i="41"/>
  <c r="P124" i="41"/>
  <c r="O124" i="41"/>
  <c r="N124" i="41"/>
  <c r="L124" i="41"/>
  <c r="K124" i="41"/>
  <c r="J124" i="41"/>
  <c r="I124" i="41"/>
  <c r="AH123" i="41"/>
  <c r="AE123" i="41"/>
  <c r="AJ123" i="41" s="1"/>
  <c r="AO123" i="41" s="1"/>
  <c r="AC123" i="41"/>
  <c r="Z123" i="41"/>
  <c r="Y123" i="41"/>
  <c r="X123" i="41"/>
  <c r="W123" i="41"/>
  <c r="V123" i="41"/>
  <c r="R123" i="41"/>
  <c r="R124" i="41" s="1"/>
  <c r="M123" i="41"/>
  <c r="M124" i="41" s="1"/>
  <c r="H123" i="41"/>
  <c r="P121" i="41"/>
  <c r="K121" i="41"/>
  <c r="L120" i="41"/>
  <c r="L121" i="41" s="1"/>
  <c r="J120" i="41"/>
  <c r="J121" i="41" s="1"/>
  <c r="H120" i="41"/>
  <c r="H121" i="41" s="1"/>
  <c r="Z119" i="41"/>
  <c r="AA119" i="41" s="1"/>
  <c r="Y119" i="41"/>
  <c r="X119" i="41"/>
  <c r="W119" i="41"/>
  <c r="V119" i="41"/>
  <c r="R119" i="41"/>
  <c r="M119" i="41"/>
  <c r="H119" i="41"/>
  <c r="U118" i="41"/>
  <c r="U120" i="41" s="1"/>
  <c r="U121" i="41" s="1"/>
  <c r="T118" i="41"/>
  <c r="T120" i="41" s="1"/>
  <c r="T121" i="41" s="1"/>
  <c r="S118" i="41"/>
  <c r="S120" i="41" s="1"/>
  <c r="S121" i="41" s="1"/>
  <c r="Q118" i="41"/>
  <c r="Q120" i="41" s="1"/>
  <c r="Q121" i="41" s="1"/>
  <c r="P118" i="41"/>
  <c r="P120" i="41" s="1"/>
  <c r="O118" i="41"/>
  <c r="O120" i="41" s="1"/>
  <c r="O121" i="41" s="1"/>
  <c r="N118" i="41"/>
  <c r="N120" i="41" s="1"/>
  <c r="N121" i="41" s="1"/>
  <c r="L118" i="41"/>
  <c r="K118" i="41"/>
  <c r="K120" i="41" s="1"/>
  <c r="J118" i="41"/>
  <c r="I118" i="41"/>
  <c r="I120" i="41" s="1"/>
  <c r="I121" i="41" s="1"/>
  <c r="G118" i="41"/>
  <c r="G120" i="41" s="1"/>
  <c r="G121" i="41" s="1"/>
  <c r="F118" i="41"/>
  <c r="F120" i="41" s="1"/>
  <c r="F121" i="41" s="1"/>
  <c r="E118" i="41"/>
  <c r="E120" i="41" s="1"/>
  <c r="E121" i="41" s="1"/>
  <c r="D118" i="41"/>
  <c r="D120" i="41" s="1"/>
  <c r="D121" i="41" s="1"/>
  <c r="V117" i="41"/>
  <c r="X117" i="41" s="1"/>
  <c r="R117" i="41"/>
  <c r="M117" i="41"/>
  <c r="H117" i="41"/>
  <c r="AD116" i="41"/>
  <c r="U116" i="41"/>
  <c r="Z116" i="41" s="1"/>
  <c r="T116" i="41"/>
  <c r="Y116" i="41" s="1"/>
  <c r="S116" i="41"/>
  <c r="Q116" i="41"/>
  <c r="V116" i="41" s="1"/>
  <c r="P116" i="41"/>
  <c r="O116" i="41"/>
  <c r="N116" i="41"/>
  <c r="L116" i="41"/>
  <c r="K116" i="41"/>
  <c r="J116" i="41"/>
  <c r="I116" i="41"/>
  <c r="G116" i="41"/>
  <c r="F116" i="41"/>
  <c r="E116" i="41"/>
  <c r="D116" i="41"/>
  <c r="R115" i="41"/>
  <c r="M115" i="41"/>
  <c r="M116" i="41" s="1"/>
  <c r="H115" i="41"/>
  <c r="AV114" i="41"/>
  <c r="AQ114" i="41"/>
  <c r="AL114" i="41"/>
  <c r="AG114" i="41"/>
  <c r="AB114" i="41"/>
  <c r="W114" i="41"/>
  <c r="R114" i="41"/>
  <c r="M114" i="41"/>
  <c r="H114" i="41"/>
  <c r="V113" i="41"/>
  <c r="U113" i="41"/>
  <c r="Z113" i="41" s="1"/>
  <c r="T113" i="41"/>
  <c r="S113" i="41"/>
  <c r="S186" i="41" s="1"/>
  <c r="Q113" i="41"/>
  <c r="Q186" i="41" s="1"/>
  <c r="P113" i="41"/>
  <c r="O113" i="41"/>
  <c r="N113" i="41"/>
  <c r="L113" i="41"/>
  <c r="K113" i="41"/>
  <c r="J113" i="41"/>
  <c r="I113" i="41"/>
  <c r="G113" i="41"/>
  <c r="F113" i="41"/>
  <c r="E113" i="41"/>
  <c r="D113" i="41"/>
  <c r="R112" i="41"/>
  <c r="M112" i="41"/>
  <c r="M113" i="41" s="1"/>
  <c r="H112" i="41"/>
  <c r="H118" i="41" s="1"/>
  <c r="AC111" i="41"/>
  <c r="AC185" i="41" s="1"/>
  <c r="X111" i="41"/>
  <c r="X185" i="41" s="1"/>
  <c r="U111" i="41"/>
  <c r="U185" i="41" s="1"/>
  <c r="T111" i="41"/>
  <c r="T185" i="41" s="1"/>
  <c r="S111" i="41"/>
  <c r="Q111" i="41"/>
  <c r="P111" i="41"/>
  <c r="O111" i="41"/>
  <c r="N111" i="41"/>
  <c r="L111" i="41"/>
  <c r="K111" i="41"/>
  <c r="J111" i="41"/>
  <c r="I111" i="41"/>
  <c r="G111" i="41"/>
  <c r="F111" i="41"/>
  <c r="E111" i="41"/>
  <c r="D111" i="41"/>
  <c r="X110" i="41"/>
  <c r="R110" i="41"/>
  <c r="R111" i="41" s="1"/>
  <c r="M110" i="41"/>
  <c r="M111" i="41" s="1"/>
  <c r="H110" i="41"/>
  <c r="U109" i="41"/>
  <c r="T109" i="41"/>
  <c r="S109" i="41"/>
  <c r="R109" i="41"/>
  <c r="Q109" i="41"/>
  <c r="P109" i="41"/>
  <c r="O109" i="41"/>
  <c r="N109" i="41"/>
  <c r="M109" i="41"/>
  <c r="L109" i="41"/>
  <c r="K109" i="41"/>
  <c r="J109" i="41"/>
  <c r="I109" i="41"/>
  <c r="AA108" i="41"/>
  <c r="Z108" i="41"/>
  <c r="Y108" i="41"/>
  <c r="X108" i="41"/>
  <c r="W108" i="41"/>
  <c r="W109" i="41" s="1"/>
  <c r="V108" i="41"/>
  <c r="R108" i="41"/>
  <c r="R113" i="41" s="1"/>
  <c r="M108" i="41"/>
  <c r="H108" i="41"/>
  <c r="H111" i="41" s="1"/>
  <c r="G106" i="41"/>
  <c r="U105" i="41"/>
  <c r="U106" i="41" s="1"/>
  <c r="T105" i="41"/>
  <c r="T106" i="41" s="1"/>
  <c r="E105" i="41"/>
  <c r="E106" i="41" s="1"/>
  <c r="D105" i="41"/>
  <c r="AV104" i="41"/>
  <c r="AQ104" i="41"/>
  <c r="AL104" i="41"/>
  <c r="AG104" i="41"/>
  <c r="AB104" i="41"/>
  <c r="W104" i="41"/>
  <c r="R104" i="41"/>
  <c r="M104" i="41"/>
  <c r="H104" i="41"/>
  <c r="U103" i="41"/>
  <c r="T103" i="41"/>
  <c r="S103" i="41"/>
  <c r="Q103" i="41"/>
  <c r="P103" i="41"/>
  <c r="O103" i="41"/>
  <c r="N103" i="41"/>
  <c r="L103" i="41"/>
  <c r="K103" i="41"/>
  <c r="J103" i="41"/>
  <c r="I103" i="41"/>
  <c r="G103" i="41"/>
  <c r="F103" i="41"/>
  <c r="E103" i="41"/>
  <c r="D103" i="41"/>
  <c r="X102" i="41"/>
  <c r="W102" i="41"/>
  <c r="V102" i="41"/>
  <c r="R102" i="41"/>
  <c r="M102" i="41"/>
  <c r="H102" i="41"/>
  <c r="U101" i="41"/>
  <c r="N101" i="41"/>
  <c r="G101" i="41"/>
  <c r="F101" i="41"/>
  <c r="E101" i="41"/>
  <c r="R100" i="41"/>
  <c r="M100" i="41"/>
  <c r="H100" i="41"/>
  <c r="H101" i="41" s="1"/>
  <c r="R99" i="41"/>
  <c r="M99" i="41"/>
  <c r="H99" i="41"/>
  <c r="N98" i="41"/>
  <c r="J98" i="41"/>
  <c r="G98" i="41"/>
  <c r="R97" i="41"/>
  <c r="M97" i="41"/>
  <c r="M98" i="41" s="1"/>
  <c r="H97" i="41"/>
  <c r="AA96" i="41"/>
  <c r="AA181" i="41" s="1"/>
  <c r="Z96" i="41"/>
  <c r="Y96" i="41"/>
  <c r="V96" i="41"/>
  <c r="V181" i="41" s="1"/>
  <c r="U96" i="41"/>
  <c r="U181" i="41" s="1"/>
  <c r="T96" i="41"/>
  <c r="S96" i="41"/>
  <c r="S181" i="41" s="1"/>
  <c r="Q96" i="41"/>
  <c r="P96" i="41"/>
  <c r="O96" i="41"/>
  <c r="N96" i="41"/>
  <c r="L96" i="41"/>
  <c r="K96" i="41"/>
  <c r="J96" i="41"/>
  <c r="I96" i="41"/>
  <c r="G96" i="41"/>
  <c r="F96" i="41"/>
  <c r="E96" i="41"/>
  <c r="D96" i="41"/>
  <c r="R95" i="41"/>
  <c r="M95" i="41"/>
  <c r="M96" i="41" s="1"/>
  <c r="H95" i="41"/>
  <c r="H96" i="41" s="1"/>
  <c r="U94" i="41"/>
  <c r="T94" i="41"/>
  <c r="N94" i="41"/>
  <c r="F94" i="41"/>
  <c r="E94" i="41"/>
  <c r="D94" i="41"/>
  <c r="R93" i="41"/>
  <c r="R103" i="41" s="1"/>
  <c r="M93" i="41"/>
  <c r="M103" i="41" s="1"/>
  <c r="H93" i="41"/>
  <c r="H103" i="41" s="1"/>
  <c r="U92" i="41"/>
  <c r="U98" i="41" s="1"/>
  <c r="T92" i="41"/>
  <c r="T101" i="41" s="1"/>
  <c r="S92" i="41"/>
  <c r="S105" i="41" s="1"/>
  <c r="Q92" i="41"/>
  <c r="Q105" i="41" s="1"/>
  <c r="Q106" i="41" s="1"/>
  <c r="P92" i="41"/>
  <c r="O92" i="41"/>
  <c r="O98" i="41" s="1"/>
  <c r="N92" i="41"/>
  <c r="N105" i="41" s="1"/>
  <c r="L92" i="41"/>
  <c r="L98" i="41" s="1"/>
  <c r="K92" i="41"/>
  <c r="K98" i="41" s="1"/>
  <c r="J92" i="41"/>
  <c r="J105" i="41" s="1"/>
  <c r="J106" i="41" s="1"/>
  <c r="I92" i="41"/>
  <c r="M92" i="41" s="1"/>
  <c r="M94" i="41" s="1"/>
  <c r="H92" i="41"/>
  <c r="H98" i="41" s="1"/>
  <c r="G92" i="41"/>
  <c r="G105" i="41" s="1"/>
  <c r="F92" i="41"/>
  <c r="F98" i="41" s="1"/>
  <c r="E92" i="41"/>
  <c r="E98" i="41" s="1"/>
  <c r="D92" i="41"/>
  <c r="D101" i="41" s="1"/>
  <c r="AU91" i="41"/>
  <c r="AT91" i="41"/>
  <c r="AS91" i="41"/>
  <c r="AR91" i="41"/>
  <c r="AP91" i="41"/>
  <c r="AO91" i="41"/>
  <c r="AN91" i="41"/>
  <c r="AM91" i="41"/>
  <c r="AK91" i="41"/>
  <c r="AJ91" i="41"/>
  <c r="AI91" i="41"/>
  <c r="AH91" i="41"/>
  <c r="AF91" i="41"/>
  <c r="AE91" i="41"/>
  <c r="AD91" i="41"/>
  <c r="AC91" i="41"/>
  <c r="AB91" i="41"/>
  <c r="AA91" i="41"/>
  <c r="Z91" i="41"/>
  <c r="Y91" i="41"/>
  <c r="X91" i="41"/>
  <c r="V91" i="41"/>
  <c r="U91" i="41"/>
  <c r="T91" i="41"/>
  <c r="S91" i="41"/>
  <c r="Q91" i="41"/>
  <c r="P91" i="41"/>
  <c r="O91" i="41"/>
  <c r="N91" i="41"/>
  <c r="L91" i="41"/>
  <c r="N90" i="41"/>
  <c r="L90" i="41"/>
  <c r="K90" i="41"/>
  <c r="J90" i="41"/>
  <c r="I90" i="41"/>
  <c r="G90" i="41"/>
  <c r="F90" i="41"/>
  <c r="E90" i="41"/>
  <c r="D90" i="41"/>
  <c r="U89" i="41"/>
  <c r="T89" i="41"/>
  <c r="S89" i="41"/>
  <c r="Q89" i="41"/>
  <c r="P89" i="41"/>
  <c r="O89" i="41"/>
  <c r="N89" i="41"/>
  <c r="L89" i="41"/>
  <c r="K89" i="41"/>
  <c r="J89" i="41"/>
  <c r="I89" i="41"/>
  <c r="AF88" i="41"/>
  <c r="AK88" i="41" s="1"/>
  <c r="AE88" i="41"/>
  <c r="AJ88" i="41" s="1"/>
  <c r="AD88" i="41"/>
  <c r="AA88" i="41"/>
  <c r="Z88" i="41"/>
  <c r="Y88" i="41"/>
  <c r="X88" i="41"/>
  <c r="AC88" i="41" s="1"/>
  <c r="W88" i="41"/>
  <c r="V88" i="41"/>
  <c r="R88" i="41"/>
  <c r="M88" i="41"/>
  <c r="H88" i="41"/>
  <c r="R87" i="41"/>
  <c r="M87" i="41"/>
  <c r="H87" i="41"/>
  <c r="L86" i="41"/>
  <c r="K86" i="41"/>
  <c r="N85" i="41"/>
  <c r="N86" i="41" s="1"/>
  <c r="L85" i="41"/>
  <c r="K85" i="41"/>
  <c r="J85" i="41"/>
  <c r="J86" i="41" s="1"/>
  <c r="I85" i="41"/>
  <c r="I86" i="41" s="1"/>
  <c r="G85" i="41"/>
  <c r="G86" i="41" s="1"/>
  <c r="F85" i="41"/>
  <c r="F86" i="41" s="1"/>
  <c r="E85" i="41"/>
  <c r="E86" i="41" s="1"/>
  <c r="D85" i="41"/>
  <c r="D86" i="41" s="1"/>
  <c r="AV84" i="41"/>
  <c r="AV91" i="41" s="1"/>
  <c r="AQ84" i="41"/>
  <c r="AQ91" i="41" s="1"/>
  <c r="AL84" i="41"/>
  <c r="AL91" i="41" s="1"/>
  <c r="AG84" i="41"/>
  <c r="AG91" i="41" s="1"/>
  <c r="AB84" i="41"/>
  <c r="W84" i="41"/>
  <c r="W91" i="41" s="1"/>
  <c r="R84" i="41"/>
  <c r="R91" i="41" s="1"/>
  <c r="K84" i="41"/>
  <c r="K91" i="41" s="1"/>
  <c r="J84" i="41"/>
  <c r="J91" i="41" s="1"/>
  <c r="I84" i="41"/>
  <c r="I91" i="41" s="1"/>
  <c r="G84" i="41"/>
  <c r="G91" i="41" s="1"/>
  <c r="F84" i="41"/>
  <c r="E84" i="41"/>
  <c r="D84" i="41"/>
  <c r="D91" i="41" s="1"/>
  <c r="S83" i="41"/>
  <c r="R83" i="41"/>
  <c r="O83" i="41"/>
  <c r="P83" i="41" s="1"/>
  <c r="M83" i="41"/>
  <c r="H83" i="41"/>
  <c r="U79" i="41"/>
  <c r="T79" i="41"/>
  <c r="S79" i="41"/>
  <c r="Q79" i="41"/>
  <c r="P79" i="41"/>
  <c r="O79" i="41"/>
  <c r="N79" i="41"/>
  <c r="L79" i="41"/>
  <c r="K79" i="41"/>
  <c r="J79" i="41"/>
  <c r="I79" i="41"/>
  <c r="R78" i="41"/>
  <c r="R96" i="41" s="1"/>
  <c r="M78" i="41"/>
  <c r="H78" i="41"/>
  <c r="N77" i="41"/>
  <c r="E77" i="41"/>
  <c r="N76" i="41"/>
  <c r="L76" i="41"/>
  <c r="L77" i="41" s="1"/>
  <c r="K76" i="41"/>
  <c r="K77" i="41" s="1"/>
  <c r="J76" i="41"/>
  <c r="J77" i="41" s="1"/>
  <c r="I76" i="41"/>
  <c r="I77" i="41" s="1"/>
  <c r="G76" i="41"/>
  <c r="G77" i="41" s="1"/>
  <c r="F76" i="41"/>
  <c r="F77" i="41" s="1"/>
  <c r="E76" i="41"/>
  <c r="AV75" i="41"/>
  <c r="AQ75" i="41"/>
  <c r="AL75" i="41"/>
  <c r="AG75" i="41"/>
  <c r="AB75" i="41"/>
  <c r="W75" i="41"/>
  <c r="R75" i="41"/>
  <c r="L75" i="41"/>
  <c r="K75" i="41"/>
  <c r="J75" i="41"/>
  <c r="I75" i="41"/>
  <c r="M75" i="41" s="1"/>
  <c r="G75" i="41"/>
  <c r="F75" i="41"/>
  <c r="E75" i="41"/>
  <c r="D75" i="41"/>
  <c r="O74" i="41"/>
  <c r="M74" i="41"/>
  <c r="H74" i="41"/>
  <c r="L71" i="41"/>
  <c r="U70" i="41"/>
  <c r="U70" i="42" s="1"/>
  <c r="T70" i="41"/>
  <c r="T70" i="42" s="1"/>
  <c r="S70" i="41"/>
  <c r="Q70" i="41"/>
  <c r="P70" i="41"/>
  <c r="O70" i="41"/>
  <c r="N70" i="41"/>
  <c r="L70" i="41"/>
  <c r="K70" i="41"/>
  <c r="J70" i="41"/>
  <c r="I70" i="41"/>
  <c r="H70" i="41"/>
  <c r="G70" i="41"/>
  <c r="F70" i="41"/>
  <c r="E70" i="41"/>
  <c r="D70" i="41"/>
  <c r="X69" i="41"/>
  <c r="V69" i="41"/>
  <c r="W69" i="41" s="1"/>
  <c r="AK65" i="41"/>
  <c r="AK177" i="41" s="1"/>
  <c r="AF65" i="41"/>
  <c r="AF177" i="41" s="1"/>
  <c r="AA65" i="41"/>
  <c r="AA177" i="41" s="1"/>
  <c r="U65" i="41"/>
  <c r="Q65" i="41"/>
  <c r="L65" i="41"/>
  <c r="J65" i="41"/>
  <c r="Y176" i="41"/>
  <c r="Y176" i="42" s="1"/>
  <c r="V63" i="41"/>
  <c r="V176" i="41" s="1"/>
  <c r="U63" i="41"/>
  <c r="T63" i="41"/>
  <c r="T176" i="41" s="1"/>
  <c r="S63" i="41"/>
  <c r="S176" i="41" s="1"/>
  <c r="Q63" i="41"/>
  <c r="Q176" i="41" s="1"/>
  <c r="P63" i="41"/>
  <c r="O63" i="41"/>
  <c r="N63" i="41"/>
  <c r="L63" i="41"/>
  <c r="K63" i="41"/>
  <c r="J63" i="41"/>
  <c r="I63" i="41"/>
  <c r="G63" i="41"/>
  <c r="F63" i="41"/>
  <c r="E63" i="41"/>
  <c r="D63" i="41"/>
  <c r="P61" i="41"/>
  <c r="O61" i="41"/>
  <c r="N61" i="41"/>
  <c r="L61" i="41"/>
  <c r="J61" i="41"/>
  <c r="G61" i="41"/>
  <c r="F61" i="41"/>
  <c r="E61" i="41"/>
  <c r="U59" i="41"/>
  <c r="T59" i="41"/>
  <c r="S59" i="41"/>
  <c r="S65" i="41" s="1"/>
  <c r="Q59" i="41"/>
  <c r="Q68" i="41" s="1"/>
  <c r="P59" i="41"/>
  <c r="P71" i="41" s="1"/>
  <c r="O59" i="41"/>
  <c r="O65" i="41" s="1"/>
  <c r="N59" i="41"/>
  <c r="N71" i="41" s="1"/>
  <c r="L59" i="41"/>
  <c r="L68" i="41" s="1"/>
  <c r="K59" i="41"/>
  <c r="K71" i="41" s="1"/>
  <c r="J59" i="41"/>
  <c r="J71" i="41" s="1"/>
  <c r="I59" i="41"/>
  <c r="I68" i="41" s="1"/>
  <c r="G59" i="41"/>
  <c r="F59" i="41"/>
  <c r="E59" i="41"/>
  <c r="D59" i="41"/>
  <c r="D65" i="41" s="1"/>
  <c r="AU58" i="41"/>
  <c r="AT58" i="41"/>
  <c r="AS58" i="41"/>
  <c r="AR58" i="41"/>
  <c r="AP58" i="41"/>
  <c r="AO58" i="41"/>
  <c r="AN58" i="41"/>
  <c r="AM58" i="41"/>
  <c r="AK58" i="41"/>
  <c r="AJ58" i="41"/>
  <c r="AI58" i="41"/>
  <c r="AH58" i="41"/>
  <c r="AF58" i="41"/>
  <c r="AE58" i="41"/>
  <c r="AD58" i="41"/>
  <c r="AC58" i="41"/>
  <c r="AA58" i="41"/>
  <c r="Z58" i="41"/>
  <c r="Y58" i="41"/>
  <c r="X58" i="41"/>
  <c r="V58" i="41"/>
  <c r="U58" i="41"/>
  <c r="T58" i="41"/>
  <c r="S58" i="41"/>
  <c r="Q58" i="41"/>
  <c r="P58" i="41"/>
  <c r="O58" i="41"/>
  <c r="N58" i="41"/>
  <c r="L58" i="41"/>
  <c r="N57" i="41"/>
  <c r="L57" i="41"/>
  <c r="K57" i="41"/>
  <c r="J57" i="41"/>
  <c r="I57" i="41"/>
  <c r="G57" i="41"/>
  <c r="F57" i="41"/>
  <c r="E57" i="41"/>
  <c r="D57" i="41"/>
  <c r="U56" i="41"/>
  <c r="T56" i="41"/>
  <c r="S56" i="41"/>
  <c r="Q56" i="41"/>
  <c r="P56" i="41"/>
  <c r="O56" i="41"/>
  <c r="N56" i="41"/>
  <c r="L56" i="41"/>
  <c r="K56" i="41"/>
  <c r="J56" i="41"/>
  <c r="I56" i="41"/>
  <c r="AE55" i="41"/>
  <c r="AD55" i="41"/>
  <c r="Z55" i="41"/>
  <c r="Y55" i="41"/>
  <c r="X55" i="41"/>
  <c r="V55" i="41"/>
  <c r="N53" i="41"/>
  <c r="L53" i="41"/>
  <c r="J53" i="41"/>
  <c r="I53" i="41"/>
  <c r="G53" i="41"/>
  <c r="F53" i="41"/>
  <c r="E53" i="41"/>
  <c r="T52" i="41"/>
  <c r="T53" i="41" s="1"/>
  <c r="S52" i="41"/>
  <c r="S53" i="41" s="1"/>
  <c r="Q52" i="41"/>
  <c r="Q53" i="41" s="1"/>
  <c r="V53" i="41" s="1"/>
  <c r="O52" i="41"/>
  <c r="O53" i="41" s="1"/>
  <c r="N52" i="41"/>
  <c r="L52" i="41"/>
  <c r="K52" i="41"/>
  <c r="K53" i="41" s="1"/>
  <c r="J52" i="41"/>
  <c r="I52" i="41"/>
  <c r="G52" i="41"/>
  <c r="F52" i="41"/>
  <c r="E52" i="41"/>
  <c r="D52" i="41"/>
  <c r="D53" i="41" s="1"/>
  <c r="AV51" i="41"/>
  <c r="AQ51" i="41"/>
  <c r="AQ58" i="41" s="1"/>
  <c r="AL51" i="41"/>
  <c r="AG51" i="41"/>
  <c r="AG58" i="41" s="1"/>
  <c r="AB51" i="41"/>
  <c r="AB58" i="41" s="1"/>
  <c r="W51" i="41"/>
  <c r="W58" i="41" s="1"/>
  <c r="K51" i="41"/>
  <c r="K58" i="41" s="1"/>
  <c r="J51" i="41"/>
  <c r="J58" i="41" s="1"/>
  <c r="I51" i="41"/>
  <c r="I58" i="41" s="1"/>
  <c r="G51" i="41"/>
  <c r="G58" i="41" s="1"/>
  <c r="F51" i="41"/>
  <c r="E51" i="41"/>
  <c r="D51" i="41"/>
  <c r="T50" i="41"/>
  <c r="S50" i="41"/>
  <c r="P50" i="41"/>
  <c r="O50" i="41"/>
  <c r="U46" i="41"/>
  <c r="T46" i="41"/>
  <c r="S46" i="41"/>
  <c r="Q46" i="41"/>
  <c r="P46" i="41"/>
  <c r="O46" i="41"/>
  <c r="N46" i="41"/>
  <c r="L46" i="41"/>
  <c r="K46" i="41"/>
  <c r="J46" i="41"/>
  <c r="I46" i="41"/>
  <c r="R45" i="41"/>
  <c r="H45" i="41"/>
  <c r="G44" i="41"/>
  <c r="N43" i="41"/>
  <c r="N44" i="41" s="1"/>
  <c r="L43" i="41"/>
  <c r="L44" i="41" s="1"/>
  <c r="K43" i="41"/>
  <c r="K44" i="41" s="1"/>
  <c r="J43" i="41"/>
  <c r="J44" i="41" s="1"/>
  <c r="I43" i="41"/>
  <c r="I44" i="41" s="1"/>
  <c r="G43" i="41"/>
  <c r="F43" i="41"/>
  <c r="F44" i="41" s="1"/>
  <c r="E43" i="41"/>
  <c r="E44" i="41" s="1"/>
  <c r="AV42" i="41"/>
  <c r="AV58" i="41" s="1"/>
  <c r="AQ42" i="41"/>
  <c r="AL42" i="41"/>
  <c r="AG42" i="41"/>
  <c r="AB42" i="41"/>
  <c r="W42" i="41"/>
  <c r="L42" i="41"/>
  <c r="K42" i="41"/>
  <c r="J42" i="41"/>
  <c r="I42" i="41"/>
  <c r="G42" i="41"/>
  <c r="F42" i="41"/>
  <c r="F58" i="41" s="1"/>
  <c r="E42" i="41"/>
  <c r="D42" i="41"/>
  <c r="D58" i="41" s="1"/>
  <c r="P41" i="41"/>
  <c r="O41" i="41"/>
  <c r="Q37" i="41"/>
  <c r="G37" i="41"/>
  <c r="AB35" i="41"/>
  <c r="Z35" i="41"/>
  <c r="AA35" i="41" s="1"/>
  <c r="AC35" i="41" s="1"/>
  <c r="X35" i="41"/>
  <c r="Y35" i="41" s="1"/>
  <c r="W35" i="41"/>
  <c r="V35" i="41"/>
  <c r="L35" i="41"/>
  <c r="H35" i="41"/>
  <c r="V31" i="41"/>
  <c r="X31" i="41" s="1"/>
  <c r="Y31" i="41" s="1"/>
  <c r="Z31" i="41" s="1"/>
  <c r="AA31" i="41" s="1"/>
  <c r="AC31" i="41" s="1"/>
  <c r="AD31" i="41" s="1"/>
  <c r="V30" i="41"/>
  <c r="X30" i="41" s="1"/>
  <c r="Y30" i="41" s="1"/>
  <c r="Z30" i="41" s="1"/>
  <c r="AA30" i="41" s="1"/>
  <c r="AC30" i="41" s="1"/>
  <c r="AD30" i="41" s="1"/>
  <c r="AD30" i="42" s="1"/>
  <c r="U28" i="41"/>
  <c r="T28" i="41"/>
  <c r="S28" i="41"/>
  <c r="Q28" i="41"/>
  <c r="P28" i="41"/>
  <c r="O28" i="41"/>
  <c r="N28" i="41"/>
  <c r="L28" i="41"/>
  <c r="K28" i="41"/>
  <c r="J28" i="41"/>
  <c r="M28" i="41" s="1"/>
  <c r="I28" i="41"/>
  <c r="G28" i="41"/>
  <c r="F28" i="41"/>
  <c r="H28" i="41" s="1"/>
  <c r="E28" i="41"/>
  <c r="D28" i="41"/>
  <c r="X26" i="41"/>
  <c r="W26" i="41"/>
  <c r="V26" i="41"/>
  <c r="T26" i="41"/>
  <c r="R26" i="41"/>
  <c r="M26" i="41"/>
  <c r="G26" i="41"/>
  <c r="R24" i="41"/>
  <c r="M24" i="41"/>
  <c r="G24" i="41"/>
  <c r="R22" i="41"/>
  <c r="M22" i="41"/>
  <c r="G22" i="41"/>
  <c r="R21" i="41"/>
  <c r="M21" i="41"/>
  <c r="G21" i="41"/>
  <c r="AV20" i="41"/>
  <c r="AQ20" i="41"/>
  <c r="AL20" i="41"/>
  <c r="AG20" i="41"/>
  <c r="AB20" i="41"/>
  <c r="W20" i="41"/>
  <c r="R20" i="41"/>
  <c r="M20" i="41"/>
  <c r="G20" i="41"/>
  <c r="Y18" i="41"/>
  <c r="X18" i="41"/>
  <c r="V18" i="41"/>
  <c r="U18" i="41"/>
  <c r="S18" i="41"/>
  <c r="P18" i="41"/>
  <c r="O18" i="41"/>
  <c r="N18" i="41"/>
  <c r="L18" i="41"/>
  <c r="K18" i="41"/>
  <c r="J18" i="41"/>
  <c r="I18" i="41"/>
  <c r="G18" i="41"/>
  <c r="F18" i="41"/>
  <c r="E18" i="41"/>
  <c r="N17" i="41"/>
  <c r="N141" i="41" s="1"/>
  <c r="K17" i="41"/>
  <c r="I17" i="41"/>
  <c r="H17" i="41"/>
  <c r="AA16" i="41"/>
  <c r="Z16" i="41"/>
  <c r="Y16" i="41"/>
  <c r="X16" i="41"/>
  <c r="AB16" i="41" s="1"/>
  <c r="V16" i="41"/>
  <c r="W16" i="41" s="1"/>
  <c r="R16" i="41"/>
  <c r="M16" i="41"/>
  <c r="G16" i="41"/>
  <c r="G136" i="41" s="1"/>
  <c r="U15" i="41"/>
  <c r="T15" i="41"/>
  <c r="S15" i="41"/>
  <c r="R15" i="41"/>
  <c r="Q15" i="41"/>
  <c r="P15" i="41"/>
  <c r="O15" i="41"/>
  <c r="N15" i="41"/>
  <c r="L15" i="41"/>
  <c r="K15" i="41"/>
  <c r="J15" i="41"/>
  <c r="I15" i="41"/>
  <c r="H15" i="41"/>
  <c r="F15" i="41"/>
  <c r="F17" i="41" s="1"/>
  <c r="E15" i="41"/>
  <c r="D15" i="41"/>
  <c r="X14" i="41"/>
  <c r="V14" i="41"/>
  <c r="W14" i="41" s="1"/>
  <c r="R14" i="41"/>
  <c r="M14" i="41"/>
  <c r="G14" i="41"/>
  <c r="R13" i="41"/>
  <c r="M13" i="41"/>
  <c r="G13" i="41"/>
  <c r="R12" i="41"/>
  <c r="M12" i="41"/>
  <c r="G12" i="41"/>
  <c r="R11" i="41"/>
  <c r="M11" i="41"/>
  <c r="G11" i="41"/>
  <c r="R10" i="41"/>
  <c r="M10" i="41"/>
  <c r="G10" i="41"/>
  <c r="R9" i="41"/>
  <c r="M9" i="41"/>
  <c r="M15" i="41" s="1"/>
  <c r="G9" i="41"/>
  <c r="G15" i="41" s="1"/>
  <c r="U8" i="41"/>
  <c r="U140" i="41" s="1"/>
  <c r="T8" i="41"/>
  <c r="T140" i="41" s="1"/>
  <c r="S8" i="41"/>
  <c r="R8" i="41"/>
  <c r="Q8" i="41"/>
  <c r="Q140" i="41" s="1"/>
  <c r="P8" i="41"/>
  <c r="P140" i="41" s="1"/>
  <c r="O8" i="41"/>
  <c r="O17" i="41" s="1"/>
  <c r="N8" i="41"/>
  <c r="L8" i="41"/>
  <c r="L17" i="41" s="1"/>
  <c r="K8" i="41"/>
  <c r="K140" i="41" s="1"/>
  <c r="J8" i="41"/>
  <c r="J17" i="41" s="1"/>
  <c r="I8" i="41"/>
  <c r="H8" i="41"/>
  <c r="F8" i="41"/>
  <c r="E8" i="41"/>
  <c r="E17" i="41" s="1"/>
  <c r="D8" i="41"/>
  <c r="D17" i="41" s="1"/>
  <c r="Z7" i="41"/>
  <c r="Y7" i="41"/>
  <c r="X7" i="41"/>
  <c r="W7" i="41"/>
  <c r="V7" i="41"/>
  <c r="R7" i="41"/>
  <c r="M7" i="41"/>
  <c r="M8" i="41" s="1"/>
  <c r="G7" i="41"/>
  <c r="G135" i="41" s="1"/>
  <c r="R6" i="41"/>
  <c r="M6" i="41"/>
  <c r="G6" i="41"/>
  <c r="G134" i="41" s="1"/>
  <c r="R5" i="41"/>
  <c r="M5" i="41"/>
  <c r="G5" i="41"/>
  <c r="G133" i="41" s="1"/>
  <c r="AL65" i="39"/>
  <c r="AL64" i="39"/>
  <c r="AL62" i="39"/>
  <c r="V117" i="36"/>
  <c r="X117" i="36" s="1"/>
  <c r="Y117" i="36" s="1"/>
  <c r="Z117" i="36" s="1"/>
  <c r="AA117" i="36" s="1"/>
  <c r="AC117" i="36" s="1"/>
  <c r="AD117" i="36" s="1"/>
  <c r="AE117" i="36" s="1"/>
  <c r="AF117" i="36" s="1"/>
  <c r="AH117" i="36" s="1"/>
  <c r="AI117" i="36" s="1"/>
  <c r="AJ117" i="36" s="1"/>
  <c r="AK117" i="36" s="1"/>
  <c r="AM117" i="36" s="1"/>
  <c r="AN117" i="36" s="1"/>
  <c r="AO117" i="36" s="1"/>
  <c r="AP117" i="36" s="1"/>
  <c r="AR117" i="36" s="1"/>
  <c r="AS117" i="36" s="1"/>
  <c r="AT117" i="36" s="1"/>
  <c r="AU117" i="36" s="1"/>
  <c r="V129" i="36"/>
  <c r="V102" i="36"/>
  <c r="I20" i="43" l="1"/>
  <c r="K11" i="44"/>
  <c r="O20" i="44"/>
  <c r="L11" i="44"/>
  <c r="P20" i="44"/>
  <c r="Q20" i="44"/>
  <c r="N11" i="44"/>
  <c r="D11" i="44"/>
  <c r="O11" i="44"/>
  <c r="S20" i="44"/>
  <c r="R46" i="45"/>
  <c r="R46" i="46" s="1"/>
  <c r="P11" i="44"/>
  <c r="T20" i="44"/>
  <c r="Q11" i="44"/>
  <c r="E20" i="44"/>
  <c r="U20" i="44"/>
  <c r="F20" i="44"/>
  <c r="S11" i="44"/>
  <c r="G20" i="44"/>
  <c r="O43" i="43"/>
  <c r="O43" i="44" s="1"/>
  <c r="T11" i="44"/>
  <c r="E11" i="44"/>
  <c r="U11" i="44"/>
  <c r="F11" i="44"/>
  <c r="J20" i="44"/>
  <c r="G11" i="44"/>
  <c r="K20" i="44"/>
  <c r="L43" i="43"/>
  <c r="L43" i="44" s="1"/>
  <c r="D20" i="44"/>
  <c r="L20" i="44"/>
  <c r="J11" i="44"/>
  <c r="N20" i="44"/>
  <c r="AL34" i="45"/>
  <c r="AE34" i="46"/>
  <c r="AD31" i="42"/>
  <c r="AH33" i="45"/>
  <c r="AH57" i="45" s="1"/>
  <c r="AH57" i="46" s="1"/>
  <c r="AI33" i="45"/>
  <c r="AC30" i="42"/>
  <c r="AC31" i="42"/>
  <c r="AD56" i="46"/>
  <c r="Z56" i="45"/>
  <c r="AP53" i="41"/>
  <c r="AU53" i="41" s="1"/>
  <c r="AU53" i="42" s="1"/>
  <c r="AM53" i="41"/>
  <c r="AR53" i="41" s="1"/>
  <c r="AR53" i="42" s="1"/>
  <c r="AN53" i="41"/>
  <c r="AS53" i="41" s="1"/>
  <c r="AS53" i="42" s="1"/>
  <c r="AE16" i="46"/>
  <c r="Q48" i="45"/>
  <c r="Q48" i="46" s="1"/>
  <c r="AV20" i="45"/>
  <c r="AV20" i="46" s="1"/>
  <c r="R48" i="45"/>
  <c r="R48" i="46" s="1"/>
  <c r="O48" i="45"/>
  <c r="O48" i="46" s="1"/>
  <c r="AV17" i="45"/>
  <c r="AV17" i="46" s="1"/>
  <c r="AB17" i="45"/>
  <c r="AB17" i="46" s="1"/>
  <c r="X8" i="46"/>
  <c r="AF19" i="46"/>
  <c r="AN21" i="46"/>
  <c r="AL19" i="45"/>
  <c r="AL19" i="46" s="1"/>
  <c r="AR8" i="46"/>
  <c r="AK15" i="46"/>
  <c r="AM15" i="46"/>
  <c r="AQ34" i="45"/>
  <c r="AQ34" i="46" s="1"/>
  <c r="W25" i="46"/>
  <c r="Z9" i="46"/>
  <c r="AA33" i="46"/>
  <c r="AV34" i="46"/>
  <c r="AA57" i="45"/>
  <c r="AA57" i="46" s="1"/>
  <c r="AG34" i="46"/>
  <c r="X57" i="46"/>
  <c r="AV9" i="45"/>
  <c r="AV9" i="46" s="1"/>
  <c r="AT9" i="46"/>
  <c r="AH10" i="46"/>
  <c r="V145" i="42"/>
  <c r="Y22" i="41"/>
  <c r="Y22" i="42" s="1"/>
  <c r="X22" i="42"/>
  <c r="AM145" i="42"/>
  <c r="Z22" i="41"/>
  <c r="Z22" i="42" s="1"/>
  <c r="X145" i="42"/>
  <c r="AN145" i="42"/>
  <c r="AA22" i="41"/>
  <c r="AA22" i="42" s="1"/>
  <c r="V144" i="42"/>
  <c r="Y145" i="42"/>
  <c r="AO145" i="42"/>
  <c r="AC22" i="41"/>
  <c r="Z145" i="42"/>
  <c r="AP145" i="42"/>
  <c r="AD22" i="41"/>
  <c r="AD22" i="42" s="1"/>
  <c r="X144" i="42"/>
  <c r="AA145" i="42"/>
  <c r="AE22" i="41"/>
  <c r="AE22" i="42" s="1"/>
  <c r="Y144" i="42"/>
  <c r="AR145" i="42"/>
  <c r="AF22" i="41"/>
  <c r="AF22" i="42" s="1"/>
  <c r="Z144" i="42"/>
  <c r="AC145" i="42"/>
  <c r="AS145" i="42"/>
  <c r="AA144" i="42"/>
  <c r="AD145" i="42"/>
  <c r="AT145" i="42"/>
  <c r="AE145" i="42"/>
  <c r="V21" i="41"/>
  <c r="AC144" i="42"/>
  <c r="AF145" i="42"/>
  <c r="AD144" i="42"/>
  <c r="AE144" i="42"/>
  <c r="AH145" i="42"/>
  <c r="AF144" i="42"/>
  <c r="AI145" i="42"/>
  <c r="AJ145" i="42"/>
  <c r="V22" i="41"/>
  <c r="AK53" i="42"/>
  <c r="AD53" i="42"/>
  <c r="AF53" i="42"/>
  <c r="AI53" i="42"/>
  <c r="Y58" i="45"/>
  <c r="G54" i="45"/>
  <c r="H10" i="45"/>
  <c r="L12" i="45"/>
  <c r="D39" i="45"/>
  <c r="D41" i="45" s="1"/>
  <c r="E40" i="45" s="1"/>
  <c r="E41" i="45" s="1"/>
  <c r="F40" i="45" s="1"/>
  <c r="AF56" i="45"/>
  <c r="AF56" i="46" s="1"/>
  <c r="H18" i="45"/>
  <c r="W19" i="45"/>
  <c r="W19" i="46" s="1"/>
  <c r="H24" i="45"/>
  <c r="H21" i="45"/>
  <c r="M35" i="45"/>
  <c r="G13" i="45"/>
  <c r="H13" i="45" s="1"/>
  <c r="G38" i="45"/>
  <c r="H38" i="45" s="1"/>
  <c r="K27" i="45"/>
  <c r="L24" i="45"/>
  <c r="T39" i="45"/>
  <c r="G36" i="45"/>
  <c r="H36" i="45" s="1"/>
  <c r="Q7" i="45"/>
  <c r="H8" i="45"/>
  <c r="H11" i="45"/>
  <c r="P13" i="45"/>
  <c r="Q13" i="45" s="1"/>
  <c r="U21" i="45"/>
  <c r="W21" i="45" s="1"/>
  <c r="W21" i="46" s="1"/>
  <c r="Q24" i="45"/>
  <c r="M26" i="45"/>
  <c r="I39" i="45"/>
  <c r="Q38" i="45"/>
  <c r="R38" i="45" s="1"/>
  <c r="AQ10" i="45"/>
  <c r="AQ10" i="46" s="1"/>
  <c r="M17" i="45"/>
  <c r="R31" i="45"/>
  <c r="M36" i="45"/>
  <c r="M8" i="45"/>
  <c r="R17" i="45"/>
  <c r="Q17" i="45"/>
  <c r="W9" i="45"/>
  <c r="W9" i="46" s="1"/>
  <c r="M20" i="45"/>
  <c r="L20" i="45"/>
  <c r="Q8" i="45"/>
  <c r="R8" i="45" s="1"/>
  <c r="AB10" i="45"/>
  <c r="AB10" i="46" s="1"/>
  <c r="U57" i="45"/>
  <c r="U9" i="45"/>
  <c r="U22" i="45" s="1"/>
  <c r="AR10" i="45"/>
  <c r="R11" i="45"/>
  <c r="M12" i="45"/>
  <c r="L17" i="45"/>
  <c r="H19" i="45"/>
  <c r="R20" i="45"/>
  <c r="G21" i="45"/>
  <c r="J22" i="45"/>
  <c r="J55" i="45" s="1"/>
  <c r="M24" i="45"/>
  <c r="U29" i="45"/>
  <c r="L30" i="45"/>
  <c r="M30" i="45" s="1"/>
  <c r="R33" i="45"/>
  <c r="G34" i="45"/>
  <c r="P35" i="45"/>
  <c r="Q35" i="45" s="1"/>
  <c r="J54" i="45"/>
  <c r="AJ56" i="45"/>
  <c r="AJ56" i="46" s="1"/>
  <c r="AL9" i="45"/>
  <c r="AL9" i="46" s="1"/>
  <c r="K10" i="45"/>
  <c r="AC10" i="45"/>
  <c r="P15" i="45"/>
  <c r="Q15" i="45" s="1"/>
  <c r="O27" i="45"/>
  <c r="J31" i="45"/>
  <c r="H34" i="45"/>
  <c r="U11" i="45"/>
  <c r="W11" i="45" s="1"/>
  <c r="P12" i="45"/>
  <c r="F16" i="45"/>
  <c r="G16" i="45" s="1"/>
  <c r="K19" i="45"/>
  <c r="L19" i="45" s="1"/>
  <c r="U20" i="45"/>
  <c r="W20" i="45" s="1"/>
  <c r="W20" i="46" s="1"/>
  <c r="W29" i="45"/>
  <c r="W29" i="46" s="1"/>
  <c r="AB34" i="45"/>
  <c r="R35" i="45"/>
  <c r="G7" i="45"/>
  <c r="L26" i="45"/>
  <c r="H7" i="45"/>
  <c r="F9" i="45"/>
  <c r="G9" i="45" s="1"/>
  <c r="N22" i="45"/>
  <c r="N55" i="45" s="1"/>
  <c r="F29" i="45"/>
  <c r="P30" i="45"/>
  <c r="Q30" i="45" s="1"/>
  <c r="L34" i="45"/>
  <c r="U35" i="45"/>
  <c r="E37" i="45"/>
  <c r="E39" i="45" s="1"/>
  <c r="K7" i="45"/>
  <c r="AQ9" i="45"/>
  <c r="AQ9" i="46" s="1"/>
  <c r="Q10" i="45"/>
  <c r="Q54" i="45" s="1"/>
  <c r="F11" i="45"/>
  <c r="G11" i="45" s="1"/>
  <c r="U12" i="45"/>
  <c r="K16" i="45"/>
  <c r="L16" i="45" s="1"/>
  <c r="P19" i="45"/>
  <c r="Q19" i="45" s="1"/>
  <c r="G25" i="45"/>
  <c r="P26" i="45"/>
  <c r="Q26" i="45" s="1"/>
  <c r="T27" i="45"/>
  <c r="P31" i="45"/>
  <c r="Q31" i="45" s="1"/>
  <c r="K32" i="45"/>
  <c r="L32" i="45" s="1"/>
  <c r="F33" i="45"/>
  <c r="G33" i="45" s="1"/>
  <c r="L36" i="45"/>
  <c r="AC57" i="45"/>
  <c r="AC57" i="46" s="1"/>
  <c r="AB9" i="45"/>
  <c r="AB9" i="46" s="1"/>
  <c r="G20" i="45"/>
  <c r="H20" i="45" s="1"/>
  <c r="E27" i="45"/>
  <c r="AB29" i="45"/>
  <c r="AB29" i="46" s="1"/>
  <c r="P34" i="45"/>
  <c r="O21" i="45"/>
  <c r="P21" i="45" s="1"/>
  <c r="Q21" i="45" s="1"/>
  <c r="F27" i="45"/>
  <c r="K29" i="45"/>
  <c r="F35" i="45"/>
  <c r="G35" i="45" s="1"/>
  <c r="L38" i="45"/>
  <c r="M38" i="45" s="1"/>
  <c r="O57" i="45"/>
  <c r="L9" i="45"/>
  <c r="M9" i="45" s="1"/>
  <c r="U10" i="45"/>
  <c r="U54" i="45" s="1"/>
  <c r="F15" i="45"/>
  <c r="G15" i="45" s="1"/>
  <c r="S22" i="45"/>
  <c r="S39" i="45" s="1"/>
  <c r="P36" i="45"/>
  <c r="Q36" i="45" s="1"/>
  <c r="K11" i="45"/>
  <c r="L11" i="45" s="1"/>
  <c r="F12" i="45"/>
  <c r="P16" i="45"/>
  <c r="Q16" i="45" s="1"/>
  <c r="L18" i="45"/>
  <c r="M18" i="45" s="1"/>
  <c r="U19" i="45"/>
  <c r="T22" i="45"/>
  <c r="L25" i="45"/>
  <c r="U26" i="45"/>
  <c r="U27" i="45" s="1"/>
  <c r="T54" i="45"/>
  <c r="Q32" i="45"/>
  <c r="R32" i="45" s="1"/>
  <c r="L33" i="45"/>
  <c r="M33" i="45" s="1"/>
  <c r="J27" i="45"/>
  <c r="P29" i="45"/>
  <c r="K35" i="45"/>
  <c r="L35" i="45" s="1"/>
  <c r="F54" i="45"/>
  <c r="G30" i="45"/>
  <c r="H30" i="45" s="1"/>
  <c r="W34" i="45"/>
  <c r="AC40" i="43"/>
  <c r="AD40" i="43" s="1"/>
  <c r="AE40" i="43" s="1"/>
  <c r="AF40" i="43" s="1"/>
  <c r="AB40" i="43"/>
  <c r="AC13" i="43"/>
  <c r="AD13" i="43" s="1"/>
  <c r="AE13" i="43" s="1"/>
  <c r="AF13" i="43" s="1"/>
  <c r="AB13" i="43"/>
  <c r="AC32" i="43"/>
  <c r="AD32" i="43" s="1"/>
  <c r="AE32" i="43" s="1"/>
  <c r="AF32" i="43" s="1"/>
  <c r="AB32" i="43"/>
  <c r="AC15" i="43"/>
  <c r="AD15" i="43" s="1"/>
  <c r="AE15" i="43" s="1"/>
  <c r="AF15" i="43" s="1"/>
  <c r="R42" i="43"/>
  <c r="M6" i="43"/>
  <c r="S42" i="43"/>
  <c r="S43" i="43" s="1"/>
  <c r="S43" i="44" s="1"/>
  <c r="M42" i="43"/>
  <c r="V31" i="43"/>
  <c r="V28" i="43"/>
  <c r="AH33" i="43"/>
  <c r="AI33" i="43" s="1"/>
  <c r="AJ33" i="43" s="1"/>
  <c r="AK33" i="43" s="1"/>
  <c r="AG33" i="43"/>
  <c r="T62" i="43"/>
  <c r="T42" i="43"/>
  <c r="T43" i="43" s="1"/>
  <c r="T43" i="44" s="1"/>
  <c r="AC39" i="43"/>
  <c r="AD39" i="43" s="1"/>
  <c r="AE39" i="43" s="1"/>
  <c r="AF39" i="43" s="1"/>
  <c r="AB39" i="43"/>
  <c r="N43" i="43"/>
  <c r="N43" i="44" s="1"/>
  <c r="H30" i="43"/>
  <c r="H35" i="43" s="1"/>
  <c r="Z23" i="43"/>
  <c r="AA23" i="43" s="1"/>
  <c r="U41" i="43"/>
  <c r="F52" i="43"/>
  <c r="F48" i="43"/>
  <c r="F50" i="43"/>
  <c r="Z52" i="43"/>
  <c r="Z48" i="43"/>
  <c r="Z50" i="43"/>
  <c r="AC18" i="43"/>
  <c r="AD18" i="43" s="1"/>
  <c r="AE18" i="43" s="1"/>
  <c r="AF18" i="43" s="1"/>
  <c r="AB18" i="43"/>
  <c r="D62" i="43"/>
  <c r="D42" i="43"/>
  <c r="D43" i="43" s="1"/>
  <c r="D43" i="44" s="1"/>
  <c r="G52" i="43"/>
  <c r="G48" i="43"/>
  <c r="G50" i="43"/>
  <c r="AA52" i="43"/>
  <c r="AA48" i="43"/>
  <c r="AA50" i="43"/>
  <c r="AF52" i="43"/>
  <c r="N62" i="43"/>
  <c r="V53" i="43"/>
  <c r="V53" i="44" s="1"/>
  <c r="U30" i="43"/>
  <c r="U35" i="43" s="1"/>
  <c r="V25" i="43"/>
  <c r="E42" i="43"/>
  <c r="E43" i="43" s="1"/>
  <c r="E43" i="44" s="1"/>
  <c r="AC50" i="43"/>
  <c r="AP49" i="43"/>
  <c r="AP50" i="43" s="1"/>
  <c r="O62" i="43"/>
  <c r="R11" i="43"/>
  <c r="AC27" i="43"/>
  <c r="AD27" i="43" s="1"/>
  <c r="AE27" i="43" s="1"/>
  <c r="AF27" i="43" s="1"/>
  <c r="AB27" i="43"/>
  <c r="AC48" i="43"/>
  <c r="AH47" i="43"/>
  <c r="G62" i="43"/>
  <c r="G42" i="43"/>
  <c r="G43" i="43" s="1"/>
  <c r="G43" i="44" s="1"/>
  <c r="P42" i="43"/>
  <c r="P43" i="43" s="1"/>
  <c r="P43" i="44" s="1"/>
  <c r="AD48" i="43"/>
  <c r="AI47" i="43"/>
  <c r="V54" i="43"/>
  <c r="Y54" i="43" s="1"/>
  <c r="AE50" i="43"/>
  <c r="AJ49" i="43"/>
  <c r="Y55" i="43"/>
  <c r="V16" i="43"/>
  <c r="W16" i="43" s="1"/>
  <c r="AH48" i="43"/>
  <c r="AH49" i="43"/>
  <c r="AN51" i="43"/>
  <c r="X54" i="43"/>
  <c r="X55" i="43"/>
  <c r="AC10" i="43"/>
  <c r="AD10" i="43" s="1"/>
  <c r="AE10" i="43" s="1"/>
  <c r="AF10" i="43" s="1"/>
  <c r="AB10" i="43"/>
  <c r="X19" i="43"/>
  <c r="Y19" i="43" s="1"/>
  <c r="Z19" i="43" s="1"/>
  <c r="AA19" i="43" s="1"/>
  <c r="W19" i="43"/>
  <c r="AB22" i="43"/>
  <c r="AB22" i="44" s="1"/>
  <c r="AC34" i="43"/>
  <c r="AD34" i="43" s="1"/>
  <c r="AE34" i="43" s="1"/>
  <c r="AF34" i="43" s="1"/>
  <c r="AB34" i="43"/>
  <c r="AI49" i="43"/>
  <c r="I62" i="43"/>
  <c r="I30" i="43"/>
  <c r="I35" i="43" s="1"/>
  <c r="I42" i="43" s="1"/>
  <c r="I43" i="43" s="1"/>
  <c r="I43" i="44" s="1"/>
  <c r="AL8" i="43"/>
  <c r="AL8" i="44" s="1"/>
  <c r="AP47" i="43"/>
  <c r="AP51" i="43"/>
  <c r="I63" i="43"/>
  <c r="H6" i="43"/>
  <c r="AC24" i="43"/>
  <c r="AD24" i="43" s="1"/>
  <c r="AE24" i="43" s="1"/>
  <c r="AF24" i="43" s="1"/>
  <c r="AB24" i="43"/>
  <c r="AC26" i="43"/>
  <c r="AD26" i="43" s="1"/>
  <c r="AE26" i="43" s="1"/>
  <c r="AF26" i="43" s="1"/>
  <c r="AB26" i="43"/>
  <c r="Q48" i="43"/>
  <c r="AK48" i="43"/>
  <c r="J63" i="43"/>
  <c r="S48" i="43"/>
  <c r="K63" i="43"/>
  <c r="J30" i="43"/>
  <c r="J35" i="43" s="1"/>
  <c r="J42" i="43" s="1"/>
  <c r="J43" i="43" s="1"/>
  <c r="J43" i="44" s="1"/>
  <c r="H37" i="43"/>
  <c r="H41" i="43" s="1"/>
  <c r="H42" i="43" s="1"/>
  <c r="Q41" i="43"/>
  <c r="T48" i="43"/>
  <c r="Q52" i="43"/>
  <c r="AK52" i="43"/>
  <c r="S62" i="43"/>
  <c r="L63" i="43"/>
  <c r="K30" i="43"/>
  <c r="K35" i="43" s="1"/>
  <c r="K42" i="43" s="1"/>
  <c r="K43" i="43" s="1"/>
  <c r="K43" i="44" s="1"/>
  <c r="U48" i="43"/>
  <c r="J50" i="43"/>
  <c r="AD50" i="43"/>
  <c r="S52" i="43"/>
  <c r="N63" i="43"/>
  <c r="F42" i="43"/>
  <c r="F43" i="43" s="1"/>
  <c r="F43" i="44" s="1"/>
  <c r="V48" i="43"/>
  <c r="T52" i="43"/>
  <c r="AN52" i="43"/>
  <c r="U62" i="43"/>
  <c r="W26" i="43"/>
  <c r="D48" i="43"/>
  <c r="X48" i="43"/>
  <c r="L50" i="43"/>
  <c r="AF50" i="43"/>
  <c r="U52" i="43"/>
  <c r="N50" i="43"/>
  <c r="AH50" i="43"/>
  <c r="V52" i="43"/>
  <c r="AP52" i="43"/>
  <c r="E62" i="43"/>
  <c r="W15" i="43"/>
  <c r="W23" i="43"/>
  <c r="W33" i="43"/>
  <c r="V56" i="43"/>
  <c r="X56" i="43"/>
  <c r="X56" i="44" s="1"/>
  <c r="W32" i="43"/>
  <c r="W40" i="43"/>
  <c r="AJ47" i="43"/>
  <c r="AH51" i="43"/>
  <c r="E63" i="43"/>
  <c r="AJ51" i="43"/>
  <c r="AD35" i="41"/>
  <c r="AE35" i="41" s="1"/>
  <c r="AH35" i="41" s="1"/>
  <c r="F141" i="41"/>
  <c r="F23" i="41"/>
  <c r="F19" i="41"/>
  <c r="E141" i="41"/>
  <c r="E23" i="41"/>
  <c r="E19" i="41"/>
  <c r="J141" i="41"/>
  <c r="J23" i="41"/>
  <c r="J19" i="41"/>
  <c r="M18" i="41"/>
  <c r="M140" i="41"/>
  <c r="M17" i="41"/>
  <c r="L141" i="41"/>
  <c r="L23" i="41"/>
  <c r="L25" i="41" s="1"/>
  <c r="L27" i="41" s="1"/>
  <c r="L19" i="41"/>
  <c r="D141" i="41"/>
  <c r="D23" i="41"/>
  <c r="O141" i="41"/>
  <c r="O23" i="41"/>
  <c r="O19" i="41"/>
  <c r="R18" i="41"/>
  <c r="R17" i="41"/>
  <c r="S140" i="41"/>
  <c r="S17" i="41"/>
  <c r="AD115" i="41"/>
  <c r="AD187" i="41"/>
  <c r="AI116" i="41"/>
  <c r="AL58" i="41"/>
  <c r="K141" i="41"/>
  <c r="K23" i="41"/>
  <c r="K19" i="41"/>
  <c r="L37" i="41"/>
  <c r="N35" i="41"/>
  <c r="R35" i="41" s="1"/>
  <c r="H42" i="41"/>
  <c r="I141" i="41"/>
  <c r="I23" i="41"/>
  <c r="I19" i="41"/>
  <c r="M35" i="41"/>
  <c r="O57" i="41"/>
  <c r="G8" i="41"/>
  <c r="G17" i="41" s="1"/>
  <c r="I140" i="41"/>
  <c r="P52" i="41"/>
  <c r="P53" i="41" s="1"/>
  <c r="P57" i="41"/>
  <c r="J140" i="41"/>
  <c r="U177" i="41"/>
  <c r="Z65" i="41"/>
  <c r="Z98" i="41"/>
  <c r="AI144" i="41"/>
  <c r="R28" i="41"/>
  <c r="U50" i="41"/>
  <c r="V135" i="41"/>
  <c r="AA55" i="41"/>
  <c r="AB55" i="41" s="1"/>
  <c r="W55" i="41"/>
  <c r="Z176" i="41"/>
  <c r="Z176" i="42" s="1"/>
  <c r="AE63" i="42"/>
  <c r="S85" i="41"/>
  <c r="S86" i="41" s="1"/>
  <c r="X86" i="41" s="1"/>
  <c r="AC86" i="41" s="1"/>
  <c r="AH86" i="41" s="1"/>
  <c r="AM86" i="41" s="1"/>
  <c r="AR86" i="41" s="1"/>
  <c r="T83" i="41"/>
  <c r="P17" i="41"/>
  <c r="AA176" i="41"/>
  <c r="AA176" i="42" s="1"/>
  <c r="AF63" i="42"/>
  <c r="X65" i="41"/>
  <c r="H51" i="41"/>
  <c r="E58" i="41"/>
  <c r="T65" i="41"/>
  <c r="T71" i="41"/>
  <c r="T71" i="42" s="1"/>
  <c r="T68" i="41"/>
  <c r="T61" i="41"/>
  <c r="Q17" i="41"/>
  <c r="N140" i="41"/>
  <c r="Z135" i="41"/>
  <c r="U71" i="41"/>
  <c r="U71" i="42" s="1"/>
  <c r="U68" i="41"/>
  <c r="U61" i="41"/>
  <c r="Z187" i="41"/>
  <c r="AE116" i="41"/>
  <c r="Z115" i="41"/>
  <c r="O140" i="41"/>
  <c r="AI55" i="41"/>
  <c r="H141" i="41"/>
  <c r="H23" i="41"/>
  <c r="T17" i="41"/>
  <c r="N19" i="41"/>
  <c r="N23" i="41"/>
  <c r="P43" i="41"/>
  <c r="P44" i="41" s="1"/>
  <c r="O43" i="41"/>
  <c r="O44" i="41" s="1"/>
  <c r="AJ55" i="41"/>
  <c r="D71" i="41"/>
  <c r="D68" i="41"/>
  <c r="D61" i="41"/>
  <c r="H59" i="41"/>
  <c r="AH88" i="41"/>
  <c r="AG88" i="41"/>
  <c r="R98" i="41"/>
  <c r="U17" i="41"/>
  <c r="Q41" i="41"/>
  <c r="Q43" i="41" s="1"/>
  <c r="Q44" i="41" s="1"/>
  <c r="V44" i="41" s="1"/>
  <c r="R140" i="41"/>
  <c r="Y26" i="41"/>
  <c r="Z26" i="41" s="1"/>
  <c r="AA26" i="41" s="1"/>
  <c r="AC26" i="41" s="1"/>
  <c r="E71" i="41"/>
  <c r="E68" i="41"/>
  <c r="Q61" i="41"/>
  <c r="E65" i="41"/>
  <c r="J68" i="41"/>
  <c r="F71" i="41"/>
  <c r="F68" i="41"/>
  <c r="S61" i="41"/>
  <c r="AD63" i="42"/>
  <c r="F65" i="41"/>
  <c r="AP65" i="41"/>
  <c r="AU65" i="41" s="1"/>
  <c r="K68" i="41"/>
  <c r="G152" i="41"/>
  <c r="G151" i="41"/>
  <c r="G71" i="41"/>
  <c r="G68" i="41"/>
  <c r="G65" i="41"/>
  <c r="N68" i="41"/>
  <c r="Y69" i="41"/>
  <c r="E91" i="41"/>
  <c r="H84" i="41"/>
  <c r="AI88" i="41"/>
  <c r="M101" i="41"/>
  <c r="D106" i="41"/>
  <c r="I65" i="41"/>
  <c r="P68" i="41"/>
  <c r="I71" i="41"/>
  <c r="F91" i="41"/>
  <c r="AO88" i="41"/>
  <c r="R101" i="41"/>
  <c r="AB102" i="41"/>
  <c r="Y102" i="41"/>
  <c r="Z102" i="41" s="1"/>
  <c r="AA102" i="41" s="1"/>
  <c r="S68" i="41"/>
  <c r="L72" i="41"/>
  <c r="AP88" i="41"/>
  <c r="AD108" i="41"/>
  <c r="AB108" i="41"/>
  <c r="J137" i="41"/>
  <c r="J72" i="41"/>
  <c r="K65" i="41"/>
  <c r="Q71" i="41"/>
  <c r="H75" i="41"/>
  <c r="AE108" i="41"/>
  <c r="X135" i="41"/>
  <c r="K137" i="41"/>
  <c r="K72" i="41"/>
  <c r="S71" i="41"/>
  <c r="Y181" i="41"/>
  <c r="AD96" i="41"/>
  <c r="Y135" i="41"/>
  <c r="N65" i="41"/>
  <c r="S177" i="41" s="1"/>
  <c r="N106" i="41"/>
  <c r="Z181" i="41"/>
  <c r="AE96" i="41"/>
  <c r="N137" i="41"/>
  <c r="N72" i="41"/>
  <c r="U176" i="41"/>
  <c r="O105" i="41"/>
  <c r="O106" i="41" s="1"/>
  <c r="O94" i="41"/>
  <c r="T180" i="41" s="1"/>
  <c r="O101" i="41"/>
  <c r="R92" i="41"/>
  <c r="O71" i="41"/>
  <c r="O68" i="41"/>
  <c r="I61" i="41"/>
  <c r="P65" i="41"/>
  <c r="P105" i="41"/>
  <c r="P106" i="41" s="1"/>
  <c r="P94" i="41"/>
  <c r="U180" i="41" s="1"/>
  <c r="P101" i="41"/>
  <c r="U183" i="41" s="1"/>
  <c r="P98" i="41"/>
  <c r="U182" i="41" s="1"/>
  <c r="Y129" i="41"/>
  <c r="Z129" i="41" s="1"/>
  <c r="AA129" i="41" s="1"/>
  <c r="AB129" i="41"/>
  <c r="P72" i="41"/>
  <c r="Q177" i="41"/>
  <c r="V177" i="41"/>
  <c r="Z101" i="41"/>
  <c r="AC55" i="41"/>
  <c r="Q178" i="41"/>
  <c r="V68" i="41"/>
  <c r="K61" i="41"/>
  <c r="P74" i="41"/>
  <c r="P90" i="41" s="1"/>
  <c r="O76" i="41"/>
  <c r="O77" i="41" s="1"/>
  <c r="S106" i="41"/>
  <c r="Y94" i="41"/>
  <c r="Q85" i="41"/>
  <c r="Q86" i="41" s="1"/>
  <c r="V86" i="41" s="1"/>
  <c r="AA86" i="41" s="1"/>
  <c r="AF86" i="41" s="1"/>
  <c r="AK86" i="41" s="1"/>
  <c r="AP86" i="41" s="1"/>
  <c r="AU86" i="41" s="1"/>
  <c r="P85" i="41"/>
  <c r="P86" i="41" s="1"/>
  <c r="T183" i="41"/>
  <c r="Y101" i="41"/>
  <c r="Z94" i="41"/>
  <c r="F105" i="41"/>
  <c r="F106" i="41" s="1"/>
  <c r="G94" i="41"/>
  <c r="Q98" i="41"/>
  <c r="K151" i="41"/>
  <c r="K152" i="41"/>
  <c r="V172" i="41"/>
  <c r="V28" i="41" s="1"/>
  <c r="W28" i="41" s="1"/>
  <c r="H94" i="41"/>
  <c r="I101" i="41"/>
  <c r="AC108" i="41"/>
  <c r="H154" i="41"/>
  <c r="F155" i="41"/>
  <c r="L151" i="41"/>
  <c r="L152" i="41"/>
  <c r="Y172" i="41"/>
  <c r="Y28" i="41" s="1"/>
  <c r="I94" i="41"/>
  <c r="S98" i="41"/>
  <c r="J101" i="41"/>
  <c r="I105" i="41"/>
  <c r="Y113" i="41"/>
  <c r="T186" i="41"/>
  <c r="J94" i="41"/>
  <c r="D98" i="41"/>
  <c r="T98" i="41"/>
  <c r="K101" i="41"/>
  <c r="Q185" i="41"/>
  <c r="AE113" i="41"/>
  <c r="Z112" i="41"/>
  <c r="Z186" i="41"/>
  <c r="H116" i="41"/>
  <c r="M84" i="41"/>
  <c r="M91" i="41" s="1"/>
  <c r="O90" i="41"/>
  <c r="K94" i="41"/>
  <c r="AF96" i="41"/>
  <c r="L101" i="41"/>
  <c r="K105" i="41"/>
  <c r="K106" i="41" s="1"/>
  <c r="AF108" i="41"/>
  <c r="AH111" i="41"/>
  <c r="AA113" i="41"/>
  <c r="V112" i="41"/>
  <c r="W112" i="41" s="1"/>
  <c r="W113" i="41" s="1"/>
  <c r="V186" i="41"/>
  <c r="H168" i="41"/>
  <c r="O85" i="41"/>
  <c r="O86" i="41" s="1"/>
  <c r="L94" i="41"/>
  <c r="Q181" i="41"/>
  <c r="L105" i="41"/>
  <c r="L106" i="41" s="1"/>
  <c r="S185" i="41"/>
  <c r="V136" i="41"/>
  <c r="Z136" i="41"/>
  <c r="K173" i="41"/>
  <c r="Y117" i="41"/>
  <c r="Z117" i="41" s="1"/>
  <c r="AA117" i="41" s="1"/>
  <c r="AB119" i="41"/>
  <c r="AC163" i="41"/>
  <c r="AA168" i="41"/>
  <c r="AA170" i="41" s="1"/>
  <c r="T181" i="41"/>
  <c r="I98" i="41"/>
  <c r="V111" i="41"/>
  <c r="Y136" i="41"/>
  <c r="AB155" i="41"/>
  <c r="O173" i="41"/>
  <c r="Q101" i="41"/>
  <c r="R120" i="41"/>
  <c r="R121" i="41" s="1"/>
  <c r="M118" i="41"/>
  <c r="M120" i="41" s="1"/>
  <c r="M121" i="41" s="1"/>
  <c r="AA116" i="41"/>
  <c r="V115" i="41"/>
  <c r="W115" i="41" s="1"/>
  <c r="W116" i="41" s="1"/>
  <c r="V187" i="41"/>
  <c r="AC119" i="41"/>
  <c r="AA136" i="41"/>
  <c r="AT123" i="41"/>
  <c r="Q94" i="41"/>
  <c r="R118" i="41"/>
  <c r="R116" i="41"/>
  <c r="Q173" i="41"/>
  <c r="AB88" i="41"/>
  <c r="S101" i="41"/>
  <c r="Y111" i="41"/>
  <c r="X116" i="41"/>
  <c r="S187" i="41"/>
  <c r="AM123" i="41"/>
  <c r="T173" i="41"/>
  <c r="S94" i="41"/>
  <c r="X96" i="41"/>
  <c r="Z111" i="41"/>
  <c r="H113" i="41"/>
  <c r="Y187" i="41"/>
  <c r="Y115" i="41"/>
  <c r="AD143" i="41"/>
  <c r="AE143" i="41" s="1"/>
  <c r="X172" i="41"/>
  <c r="X28" i="41" s="1"/>
  <c r="AA123" i="41"/>
  <c r="M131" i="41"/>
  <c r="X136" i="41"/>
  <c r="D168" i="41"/>
  <c r="D170" i="41" s="1"/>
  <c r="U186" i="41"/>
  <c r="AD123" i="41"/>
  <c r="W124" i="41"/>
  <c r="Z168" i="41"/>
  <c r="Z170" i="41" s="1"/>
  <c r="R131" i="41"/>
  <c r="Q187" i="41"/>
  <c r="X113" i="41"/>
  <c r="W117" i="41"/>
  <c r="T187" i="41"/>
  <c r="U187" i="41"/>
  <c r="AL154" i="41"/>
  <c r="AF61" i="38"/>
  <c r="AF35" i="36"/>
  <c r="AA35" i="36"/>
  <c r="V35" i="36"/>
  <c r="AU51" i="38"/>
  <c r="AT51" i="38"/>
  <c r="AS51" i="38"/>
  <c r="AR51" i="38"/>
  <c r="AU49" i="38"/>
  <c r="AT49" i="38"/>
  <c r="AS49" i="38"/>
  <c r="AR49" i="38"/>
  <c r="AU47" i="38"/>
  <c r="AT47" i="38"/>
  <c r="AS47" i="38"/>
  <c r="AR47" i="38"/>
  <c r="AP51" i="38"/>
  <c r="AO51" i="38"/>
  <c r="AN51" i="38"/>
  <c r="AM51" i="38"/>
  <c r="AP49" i="38"/>
  <c r="AO49" i="38"/>
  <c r="AN49" i="38"/>
  <c r="AM49" i="38"/>
  <c r="AP47" i="38"/>
  <c r="AO47" i="38"/>
  <c r="AN47" i="38"/>
  <c r="AM47" i="38"/>
  <c r="AK51" i="38"/>
  <c r="AJ51" i="38"/>
  <c r="AI51" i="38"/>
  <c r="AH51" i="38"/>
  <c r="AK49" i="38"/>
  <c r="AJ49" i="38"/>
  <c r="AI49" i="38"/>
  <c r="AH49" i="38"/>
  <c r="AK47" i="38"/>
  <c r="AJ47" i="38"/>
  <c r="AI47" i="38"/>
  <c r="AH47" i="38"/>
  <c r="AF51" i="38"/>
  <c r="AE51" i="38"/>
  <c r="AD51" i="38"/>
  <c r="AC51" i="38"/>
  <c r="AF49" i="38"/>
  <c r="AE49" i="38"/>
  <c r="AD49" i="38"/>
  <c r="AC49" i="38"/>
  <c r="AF47" i="38"/>
  <c r="AE47" i="38"/>
  <c r="AD47" i="38"/>
  <c r="AC47" i="38"/>
  <c r="AA51" i="38"/>
  <c r="Z51" i="38"/>
  <c r="Y51" i="38"/>
  <c r="X51" i="38"/>
  <c r="AA49" i="38"/>
  <c r="Z49" i="38"/>
  <c r="Y49" i="38"/>
  <c r="X49" i="38"/>
  <c r="AA47" i="38"/>
  <c r="Z47" i="38"/>
  <c r="Y47" i="38"/>
  <c r="X47" i="38"/>
  <c r="V51" i="38"/>
  <c r="V49" i="38"/>
  <c r="V47" i="38"/>
  <c r="AF68" i="36"/>
  <c r="AL63" i="39"/>
  <c r="AJ96" i="36"/>
  <c r="G37" i="36"/>
  <c r="L37" i="36"/>
  <c r="Q37" i="36"/>
  <c r="AJ98" i="36"/>
  <c r="AJ94" i="36"/>
  <c r="AK101" i="36"/>
  <c r="AJ101" i="36"/>
  <c r="AI101" i="36"/>
  <c r="AH101" i="36"/>
  <c r="AK98" i="36"/>
  <c r="AI98" i="36"/>
  <c r="AH98" i="36"/>
  <c r="AK96" i="36"/>
  <c r="AI96" i="36"/>
  <c r="AH96" i="36"/>
  <c r="AK94" i="36"/>
  <c r="AI94" i="36"/>
  <c r="AH94" i="36"/>
  <c r="D57" i="39"/>
  <c r="AA63" i="36"/>
  <c r="Z63" i="36"/>
  <c r="AR144" i="36"/>
  <c r="AS144" i="36" s="1"/>
  <c r="AT144" i="36" s="1"/>
  <c r="AU144" i="36" s="1"/>
  <c r="AM144" i="36"/>
  <c r="AN144" i="36" s="1"/>
  <c r="AO144" i="36" s="1"/>
  <c r="AP144" i="36" s="1"/>
  <c r="AH144" i="36"/>
  <c r="AI144" i="36" s="1"/>
  <c r="AJ144" i="36" s="1"/>
  <c r="AK144" i="36" s="1"/>
  <c r="AF144" i="36"/>
  <c r="AE144" i="36"/>
  <c r="AD144" i="36"/>
  <c r="AC144" i="36"/>
  <c r="AA144" i="36"/>
  <c r="Y144" i="36"/>
  <c r="Z144" i="36" s="1"/>
  <c r="X144" i="36"/>
  <c r="V144" i="36"/>
  <c r="V145" i="36"/>
  <c r="X145" i="36" s="1"/>
  <c r="Y145" i="36" s="1"/>
  <c r="Z145" i="36" s="1"/>
  <c r="AA145" i="36" s="1"/>
  <c r="AC145" i="36" s="1"/>
  <c r="AD145" i="36" s="1"/>
  <c r="AE145" i="36" s="1"/>
  <c r="AF145" i="36" s="1"/>
  <c r="AH145" i="36" s="1"/>
  <c r="AI145" i="36" s="1"/>
  <c r="AJ145" i="36" s="1"/>
  <c r="AK145" i="36" s="1"/>
  <c r="AM145" i="36" s="1"/>
  <c r="AN145" i="36" s="1"/>
  <c r="AO145" i="36" s="1"/>
  <c r="AP145" i="36" s="1"/>
  <c r="AR145" i="36" s="1"/>
  <c r="AS145" i="36" s="1"/>
  <c r="AT145" i="36" s="1"/>
  <c r="AU145" i="36" s="1"/>
  <c r="AV66" i="38"/>
  <c r="AQ66" i="38"/>
  <c r="AL66" i="38"/>
  <c r="AG66" i="38"/>
  <c r="AB66" i="38"/>
  <c r="W66" i="38"/>
  <c r="W67" i="38"/>
  <c r="R65" i="38"/>
  <c r="R64" i="38"/>
  <c r="M67" i="38"/>
  <c r="M64" i="38" s="1"/>
  <c r="M65" i="38"/>
  <c r="R67" i="38"/>
  <c r="H11" i="43" l="1"/>
  <c r="H46" i="45"/>
  <c r="H6" i="44"/>
  <c r="M11" i="43"/>
  <c r="M46" i="45"/>
  <c r="M6" i="44"/>
  <c r="V7" i="45"/>
  <c r="V56" i="44"/>
  <c r="R20" i="43"/>
  <c r="R20" i="44" s="1"/>
  <c r="R11" i="44"/>
  <c r="I53" i="43"/>
  <c r="I53" i="44" s="1"/>
  <c r="I20" i="44"/>
  <c r="AH35" i="42"/>
  <c r="AI57" i="45"/>
  <c r="AI57" i="46" s="1"/>
  <c r="AI33" i="46"/>
  <c r="AH33" i="46"/>
  <c r="AA56" i="45"/>
  <c r="AA56" i="46" s="1"/>
  <c r="Z56" i="46"/>
  <c r="AC53" i="42"/>
  <c r="AP53" i="42"/>
  <c r="AN53" i="42"/>
  <c r="AM53" i="42"/>
  <c r="AH53" i="42"/>
  <c r="W57" i="45"/>
  <c r="W57" i="46" s="1"/>
  <c r="W34" i="46"/>
  <c r="AG10" i="45"/>
  <c r="AG10" i="46" s="1"/>
  <c r="AC10" i="46"/>
  <c r="Z58" i="45"/>
  <c r="Y58" i="46"/>
  <c r="AB57" i="45"/>
  <c r="AB57" i="46" s="1"/>
  <c r="AB34" i="46"/>
  <c r="AV10" i="45"/>
  <c r="AV10" i="46" s="1"/>
  <c r="AR10" i="46"/>
  <c r="V22" i="42"/>
  <c r="W22" i="41"/>
  <c r="W22" i="42" s="1"/>
  <c r="W21" i="41"/>
  <c r="W21" i="42" s="1"/>
  <c r="V21" i="42"/>
  <c r="AI144" i="42"/>
  <c r="AG22" i="41"/>
  <c r="AG22" i="42" s="1"/>
  <c r="AC22" i="42"/>
  <c r="AB22" i="41"/>
  <c r="AB22" i="42" s="1"/>
  <c r="H29" i="45"/>
  <c r="H37" i="45" s="1"/>
  <c r="M7" i="45"/>
  <c r="K31" i="45"/>
  <c r="L31" i="45" s="1"/>
  <c r="U37" i="45"/>
  <c r="U39" i="45" s="1"/>
  <c r="M16" i="45"/>
  <c r="R36" i="45"/>
  <c r="L27" i="45"/>
  <c r="M32" i="45"/>
  <c r="R15" i="45"/>
  <c r="P57" i="45"/>
  <c r="Q34" i="45"/>
  <c r="Q57" i="45" s="1"/>
  <c r="P27" i="45"/>
  <c r="L29" i="45"/>
  <c r="Q29" i="45"/>
  <c r="P37" i="45"/>
  <c r="P39" i="45" s="1"/>
  <c r="V53" i="45"/>
  <c r="R26" i="45"/>
  <c r="Q27" i="45"/>
  <c r="J37" i="45"/>
  <c r="J39" i="45" s="1"/>
  <c r="G12" i="45"/>
  <c r="R24" i="45"/>
  <c r="R27" i="45" s="1"/>
  <c r="W10" i="45"/>
  <c r="W10" i="46" s="1"/>
  <c r="H33" i="45"/>
  <c r="G27" i="45"/>
  <c r="M19" i="45"/>
  <c r="R34" i="45"/>
  <c r="R57" i="45" s="1"/>
  <c r="M11" i="45"/>
  <c r="H12" i="45"/>
  <c r="L7" i="45"/>
  <c r="K22" i="45"/>
  <c r="K55" i="45" s="1"/>
  <c r="G22" i="45"/>
  <c r="L10" i="45"/>
  <c r="L54" i="45" s="1"/>
  <c r="K54" i="45"/>
  <c r="R13" i="45"/>
  <c r="S55" i="45"/>
  <c r="O22" i="45"/>
  <c r="T55" i="45" s="1"/>
  <c r="R21" i="45"/>
  <c r="R10" i="45"/>
  <c r="R54" i="45" s="1"/>
  <c r="R7" i="45"/>
  <c r="H57" i="45"/>
  <c r="M25" i="45"/>
  <c r="R16" i="45"/>
  <c r="H25" i="45"/>
  <c r="AK56" i="45"/>
  <c r="AK56" i="46" s="1"/>
  <c r="H16" i="45"/>
  <c r="H35" i="45"/>
  <c r="R19" i="45"/>
  <c r="M34" i="45"/>
  <c r="M57" i="45" s="1"/>
  <c r="L57" i="45"/>
  <c r="F22" i="45"/>
  <c r="F57" i="45"/>
  <c r="R30" i="45"/>
  <c r="H15" i="45"/>
  <c r="M29" i="45"/>
  <c r="F37" i="45"/>
  <c r="G29" i="45"/>
  <c r="G37" i="45" s="1"/>
  <c r="R12" i="45"/>
  <c r="Q12" i="45"/>
  <c r="G57" i="45"/>
  <c r="N39" i="45"/>
  <c r="P22" i="45"/>
  <c r="H9" i="45"/>
  <c r="H22" i="45" s="1"/>
  <c r="H27" i="45"/>
  <c r="Z54" i="43"/>
  <c r="AC54" i="43" s="1"/>
  <c r="AU51" i="43"/>
  <c r="R43" i="43"/>
  <c r="R43" i="44" s="1"/>
  <c r="AH26" i="43"/>
  <c r="AI26" i="43" s="1"/>
  <c r="AJ26" i="43" s="1"/>
  <c r="AK26" i="43" s="1"/>
  <c r="AG26" i="43"/>
  <c r="X25" i="43"/>
  <c r="W25" i="43"/>
  <c r="V30" i="43"/>
  <c r="W37" i="43"/>
  <c r="AH15" i="43"/>
  <c r="AI15" i="43" s="1"/>
  <c r="AJ15" i="43" s="1"/>
  <c r="AK15" i="43" s="1"/>
  <c r="AG15" i="43"/>
  <c r="AU47" i="43"/>
  <c r="AQ8" i="43"/>
  <c r="AQ8" i="44" s="1"/>
  <c r="Y16" i="43"/>
  <c r="U42" i="43"/>
  <c r="U43" i="43" s="1"/>
  <c r="U43" i="44" s="1"/>
  <c r="AM33" i="43"/>
  <c r="AN33" i="43" s="1"/>
  <c r="AO33" i="43" s="1"/>
  <c r="AP33" i="43" s="1"/>
  <c r="AL33" i="43"/>
  <c r="W30" i="43"/>
  <c r="W30" i="44" s="1"/>
  <c r="AH24" i="43"/>
  <c r="AI24" i="43" s="1"/>
  <c r="AJ24" i="43" s="1"/>
  <c r="AK24" i="43" s="1"/>
  <c r="AG24" i="43"/>
  <c r="AC19" i="43"/>
  <c r="AD19" i="43" s="1"/>
  <c r="AE19" i="43" s="1"/>
  <c r="AF19" i="43" s="1"/>
  <c r="AB19" i="43"/>
  <c r="Z55" i="43"/>
  <c r="V63" i="43"/>
  <c r="X28" i="43"/>
  <c r="W28" i="43"/>
  <c r="AC23" i="43"/>
  <c r="AB23" i="43"/>
  <c r="W31" i="43"/>
  <c r="X31" i="43"/>
  <c r="Y31" i="43" s="1"/>
  <c r="Z31" i="43" s="1"/>
  <c r="AA31" i="43" s="1"/>
  <c r="AH32" i="43"/>
  <c r="AI32" i="43" s="1"/>
  <c r="AJ32" i="43" s="1"/>
  <c r="AK32" i="43" s="1"/>
  <c r="AG32" i="43"/>
  <c r="AP48" i="43"/>
  <c r="AG10" i="43"/>
  <c r="AH10" i="43"/>
  <c r="AI10" i="43" s="1"/>
  <c r="AJ10" i="43" s="1"/>
  <c r="AK10" i="43" s="1"/>
  <c r="AJ50" i="43"/>
  <c r="AO49" i="43"/>
  <c r="X53" i="43"/>
  <c r="X53" i="44" s="1"/>
  <c r="AH18" i="43"/>
  <c r="AI18" i="43" s="1"/>
  <c r="AJ18" i="43" s="1"/>
  <c r="AK18" i="43" s="1"/>
  <c r="AG18" i="43"/>
  <c r="Q62" i="43"/>
  <c r="Q42" i="43"/>
  <c r="Q43" i="43" s="1"/>
  <c r="Q43" i="44" s="1"/>
  <c r="X16" i="43"/>
  <c r="AM47" i="43"/>
  <c r="AN47" i="43"/>
  <c r="AI48" i="43"/>
  <c r="AH34" i="43"/>
  <c r="AI34" i="43" s="1"/>
  <c r="AJ34" i="43" s="1"/>
  <c r="AK34" i="43" s="1"/>
  <c r="AG34" i="43"/>
  <c r="AU49" i="43"/>
  <c r="AH13" i="43"/>
  <c r="AI13" i="43" s="1"/>
  <c r="AJ13" i="43" s="1"/>
  <c r="AK13" i="43" s="1"/>
  <c r="AG13" i="43"/>
  <c r="AJ52" i="43"/>
  <c r="AO51" i="43"/>
  <c r="Y56" i="43"/>
  <c r="Y56" i="44" s="1"/>
  <c r="AS51" i="43"/>
  <c r="AG27" i="43"/>
  <c r="AH27" i="43"/>
  <c r="AI27" i="43" s="1"/>
  <c r="AJ27" i="43" s="1"/>
  <c r="AK27" i="43" s="1"/>
  <c r="AM51" i="43"/>
  <c r="AH52" i="43"/>
  <c r="AI50" i="43"/>
  <c r="AN49" i="43"/>
  <c r="AM49" i="43"/>
  <c r="AH39" i="43"/>
  <c r="AI39" i="43" s="1"/>
  <c r="AJ39" i="43" s="1"/>
  <c r="AK39" i="43" s="1"/>
  <c r="AG39" i="43"/>
  <c r="AH40" i="43"/>
  <c r="AI40" i="43" s="1"/>
  <c r="AJ40" i="43" s="1"/>
  <c r="AK40" i="43" s="1"/>
  <c r="AG40" i="43"/>
  <c r="AO47" i="43"/>
  <c r="AJ48" i="43"/>
  <c r="AA54" i="43"/>
  <c r="AF176" i="41"/>
  <c r="AH108" i="41"/>
  <c r="AG108" i="41"/>
  <c r="V50" i="41"/>
  <c r="U52" i="41"/>
  <c r="U53" i="41" s="1"/>
  <c r="AC113" i="41"/>
  <c r="X112" i="41"/>
  <c r="X186" i="41"/>
  <c r="Q183" i="41"/>
  <c r="V101" i="41"/>
  <c r="I137" i="41"/>
  <c r="I72" i="41"/>
  <c r="E137" i="41"/>
  <c r="E72" i="41"/>
  <c r="R141" i="41"/>
  <c r="R19" i="41"/>
  <c r="R23" i="41"/>
  <c r="AB109" i="41"/>
  <c r="AD26" i="41"/>
  <c r="AE26" i="41" s="1"/>
  <c r="AF26" i="41" s="1"/>
  <c r="AH26" i="41" s="1"/>
  <c r="Z183" i="41"/>
  <c r="AE101" i="41"/>
  <c r="AI108" i="41"/>
  <c r="AD7" i="41"/>
  <c r="D137" i="41"/>
  <c r="D72" i="41"/>
  <c r="H71" i="41"/>
  <c r="H72" i="41" s="1"/>
  <c r="AN55" i="41"/>
  <c r="Q141" i="41"/>
  <c r="Q23" i="41"/>
  <c r="Q19" i="41"/>
  <c r="X176" i="41"/>
  <c r="X176" i="42" s="1"/>
  <c r="AC63" i="42"/>
  <c r="AF143" i="41"/>
  <c r="AM111" i="41"/>
  <c r="AH185" i="41"/>
  <c r="AH110" i="41"/>
  <c r="G137" i="41"/>
  <c r="G72" i="41"/>
  <c r="Z172" i="41"/>
  <c r="Z28" i="41" s="1"/>
  <c r="Z18" i="41"/>
  <c r="AD113" i="41"/>
  <c r="Y112" i="41"/>
  <c r="Y186" i="41"/>
  <c r="H105" i="41"/>
  <c r="H106" i="41" s="1"/>
  <c r="AO55" i="41"/>
  <c r="J142" i="41"/>
  <c r="J29" i="41"/>
  <c r="J34" i="41" s="1"/>
  <c r="J147" i="41" s="1"/>
  <c r="Z185" i="41"/>
  <c r="AE111" i="41"/>
  <c r="Z110" i="41"/>
  <c r="Z118" i="41" s="1"/>
  <c r="Z120" i="41" s="1"/>
  <c r="Z121" i="41" s="1"/>
  <c r="AF181" i="41"/>
  <c r="AK96" i="41"/>
  <c r="AC110" i="41"/>
  <c r="Y180" i="41"/>
  <c r="AD94" i="41"/>
  <c r="O137" i="41"/>
  <c r="O72" i="41"/>
  <c r="AD181" i="41"/>
  <c r="AI96" i="41"/>
  <c r="AD135" i="41"/>
  <c r="T175" i="41"/>
  <c r="P141" i="41"/>
  <c r="P23" i="41"/>
  <c r="P19" i="41"/>
  <c r="K143" i="41"/>
  <c r="K25" i="41"/>
  <c r="K27" i="41" s="1"/>
  <c r="O142" i="41"/>
  <c r="O29" i="41"/>
  <c r="O34" i="41" s="1"/>
  <c r="O147" i="41" s="1"/>
  <c r="J143" i="41"/>
  <c r="J25" i="41"/>
  <c r="J27" i="41" s="1"/>
  <c r="AE186" i="41"/>
  <c r="AJ113" i="41"/>
  <c r="AE112" i="41"/>
  <c r="S183" i="41"/>
  <c r="X101" i="41"/>
  <c r="T182" i="41"/>
  <c r="Y98" i="41"/>
  <c r="V178" i="41"/>
  <c r="AA68" i="41"/>
  <c r="M141" i="41"/>
  <c r="M23" i="41"/>
  <c r="M19" i="41"/>
  <c r="AK108" i="41"/>
  <c r="R105" i="41"/>
  <c r="R106" i="41" s="1"/>
  <c r="AH55" i="41"/>
  <c r="AC7" i="41"/>
  <c r="K142" i="41"/>
  <c r="K29" i="41"/>
  <c r="K34" i="41" s="1"/>
  <c r="AI123" i="41"/>
  <c r="AG123" i="41"/>
  <c r="X181" i="41"/>
  <c r="AC96" i="41"/>
  <c r="Q180" i="41"/>
  <c r="V94" i="41"/>
  <c r="V185" i="41"/>
  <c r="V110" i="41"/>
  <c r="AA111" i="41"/>
  <c r="M105" i="41"/>
  <c r="M106" i="41" s="1"/>
  <c r="I106" i="41"/>
  <c r="Q182" i="41"/>
  <c r="V98" i="41"/>
  <c r="R94" i="41"/>
  <c r="R82" i="41"/>
  <c r="AU88" i="41"/>
  <c r="T178" i="41"/>
  <c r="Y68" i="41"/>
  <c r="L140" i="41"/>
  <c r="AJ144" i="41"/>
  <c r="O143" i="41"/>
  <c r="O25" i="41"/>
  <c r="O27" i="41" s="1"/>
  <c r="Q175" i="41"/>
  <c r="V61" i="41"/>
  <c r="S180" i="41"/>
  <c r="X94" i="41"/>
  <c r="S137" i="41"/>
  <c r="S72" i="41"/>
  <c r="AN88" i="41"/>
  <c r="AD176" i="41"/>
  <c r="AD176" i="42" s="1"/>
  <c r="AI63" i="42"/>
  <c r="Q57" i="41"/>
  <c r="W57" i="41" s="1"/>
  <c r="S41" i="41"/>
  <c r="S43" i="41" s="1"/>
  <c r="S44" i="41" s="1"/>
  <c r="T137" i="41"/>
  <c r="T137" i="42" s="1"/>
  <c r="T72" i="41"/>
  <c r="T72" i="42" s="1"/>
  <c r="T85" i="41"/>
  <c r="T86" i="41" s="1"/>
  <c r="Y86" i="41" s="1"/>
  <c r="AD86" i="41" s="1"/>
  <c r="AI86" i="41" s="1"/>
  <c r="AN86" i="41" s="1"/>
  <c r="AS86" i="41" s="1"/>
  <c r="U83" i="41"/>
  <c r="Z182" i="41"/>
  <c r="AE98" i="41"/>
  <c r="D173" i="41"/>
  <c r="D18" i="41"/>
  <c r="S182" i="41"/>
  <c r="X98" i="41"/>
  <c r="P137" i="41"/>
  <c r="L137" i="41"/>
  <c r="S175" i="41"/>
  <c r="AB26" i="41"/>
  <c r="T177" i="41"/>
  <c r="Y65" i="41"/>
  <c r="AN116" i="41"/>
  <c r="AI187" i="41"/>
  <c r="E142" i="41"/>
  <c r="E29" i="41"/>
  <c r="E34" i="41" s="1"/>
  <c r="Y183" i="41"/>
  <c r="AD101" i="41"/>
  <c r="H91" i="41"/>
  <c r="E143" i="41"/>
  <c r="E25" i="41"/>
  <c r="E27" i="41" s="1"/>
  <c r="X115" i="41"/>
  <c r="X187" i="41"/>
  <c r="AC116" i="41"/>
  <c r="F152" i="41"/>
  <c r="H155" i="41"/>
  <c r="F151" i="41"/>
  <c r="AH143" i="41"/>
  <c r="Q137" i="41"/>
  <c r="Q72" i="41"/>
  <c r="AA112" i="41"/>
  <c r="AA186" i="41"/>
  <c r="AF113" i="41"/>
  <c r="AT88" i="41"/>
  <c r="AA172" i="41"/>
  <c r="AA28" i="41" s="1"/>
  <c r="AA18" i="41"/>
  <c r="S178" i="41"/>
  <c r="X68" i="41"/>
  <c r="N143" i="41"/>
  <c r="N25" i="41"/>
  <c r="N27" i="41" s="1"/>
  <c r="AC117" i="41"/>
  <c r="AC129" i="41"/>
  <c r="AC168" i="41"/>
  <c r="AC170" i="41" s="1"/>
  <c r="AD163" i="41"/>
  <c r="AC102" i="41"/>
  <c r="F137" i="41"/>
  <c r="F72" i="41"/>
  <c r="U141" i="41"/>
  <c r="U19" i="41"/>
  <c r="U23" i="41"/>
  <c r="AJ116" i="41"/>
  <c r="AE187" i="41"/>
  <c r="AE115" i="41"/>
  <c r="AE176" i="41"/>
  <c r="AE176" i="42" s="1"/>
  <c r="AJ63" i="42"/>
  <c r="G141" i="41"/>
  <c r="G23" i="41"/>
  <c r="G19" i="41"/>
  <c r="AF123" i="41"/>
  <c r="AB123" i="41"/>
  <c r="AR123" i="41"/>
  <c r="AD119" i="41"/>
  <c r="AC136" i="41"/>
  <c r="AC16" i="41"/>
  <c r="Z180" i="41"/>
  <c r="AE94" i="41"/>
  <c r="AJ108" i="41"/>
  <c r="AE7" i="41"/>
  <c r="AE135" i="41" s="1"/>
  <c r="Z69" i="41"/>
  <c r="Y14" i="41"/>
  <c r="N142" i="41"/>
  <c r="N29" i="41"/>
  <c r="N34" i="41" s="1"/>
  <c r="H58" i="41"/>
  <c r="D143" i="41"/>
  <c r="D25" i="41"/>
  <c r="D27" i="41" s="1"/>
  <c r="F142" i="41"/>
  <c r="F29" i="41"/>
  <c r="F34" i="41" s="1"/>
  <c r="Q74" i="41"/>
  <c r="Q76" i="41"/>
  <c r="Q77" i="41" s="1"/>
  <c r="V77" i="41" s="1"/>
  <c r="AA187" i="41"/>
  <c r="AA115" i="41"/>
  <c r="AF116" i="41"/>
  <c r="AB28" i="41"/>
  <c r="P76" i="41"/>
  <c r="P77" i="41" s="1"/>
  <c r="T141" i="41"/>
  <c r="T23" i="41"/>
  <c r="T19" i="41"/>
  <c r="U175" i="41"/>
  <c r="F143" i="41"/>
  <c r="F25" i="41"/>
  <c r="F27" i="41" s="1"/>
  <c r="U178" i="41"/>
  <c r="Z68" i="41"/>
  <c r="Z177" i="41"/>
  <c r="AE65" i="41"/>
  <c r="I142" i="41"/>
  <c r="I29" i="41"/>
  <c r="I34" i="41" s="1"/>
  <c r="S141" i="41"/>
  <c r="S23" i="41"/>
  <c r="S19" i="41"/>
  <c r="L142" i="41"/>
  <c r="L29" i="41"/>
  <c r="L34" i="41" s="1"/>
  <c r="Y185" i="41"/>
  <c r="AD111" i="41"/>
  <c r="Y110" i="41"/>
  <c r="AE181" i="41"/>
  <c r="AJ96" i="41"/>
  <c r="AM88" i="41"/>
  <c r="AL88" i="41"/>
  <c r="H143" i="41"/>
  <c r="H25" i="41"/>
  <c r="H27" i="41" s="1"/>
  <c r="U137" i="41"/>
  <c r="U137" i="42" s="1"/>
  <c r="U72" i="41"/>
  <c r="U72" i="42" s="1"/>
  <c r="X177" i="41"/>
  <c r="AC65" i="41"/>
  <c r="AF55" i="41"/>
  <c r="AA7" i="41"/>
  <c r="AB7" i="41" s="1"/>
  <c r="I143" i="41"/>
  <c r="I25" i="41"/>
  <c r="I27" i="41" s="1"/>
  <c r="L33" i="41"/>
  <c r="L32" i="41"/>
  <c r="AI35" i="41"/>
  <c r="AB117" i="41"/>
  <c r="AG35" i="41"/>
  <c r="AG35" i="42" s="1"/>
  <c r="AK154" i="36"/>
  <c r="AH34" i="39"/>
  <c r="AH57" i="39" s="1"/>
  <c r="AA94" i="36"/>
  <c r="AA180" i="36" s="1"/>
  <c r="AA96" i="36"/>
  <c r="Z98" i="36"/>
  <c r="AE98" i="36" s="1"/>
  <c r="Z94" i="36"/>
  <c r="Z180" i="36" s="1"/>
  <c r="Z96" i="36"/>
  <c r="AE96" i="36"/>
  <c r="V68" i="36"/>
  <c r="AA68" i="36" s="1"/>
  <c r="AK68" i="36" s="1"/>
  <c r="V63" i="36"/>
  <c r="V176" i="36" s="1"/>
  <c r="V61" i="36"/>
  <c r="V175" i="36" s="1"/>
  <c r="AR69" i="36"/>
  <c r="AS69" i="36" s="1"/>
  <c r="AT69" i="36" s="1"/>
  <c r="AU69" i="36" s="1"/>
  <c r="AM69" i="36"/>
  <c r="AN69" i="36" s="1"/>
  <c r="AO69" i="36" s="1"/>
  <c r="AP69" i="36" s="1"/>
  <c r="AH69" i="36"/>
  <c r="AI69" i="36" s="1"/>
  <c r="AJ69" i="36" s="1"/>
  <c r="AK69" i="36" s="1"/>
  <c r="AC69" i="36"/>
  <c r="AD69" i="36" s="1"/>
  <c r="AE69" i="36" s="1"/>
  <c r="AF69" i="36" s="1"/>
  <c r="X69" i="36"/>
  <c r="Y69" i="36"/>
  <c r="Z69" i="36" s="1"/>
  <c r="AA69" i="36" s="1"/>
  <c r="V69" i="36"/>
  <c r="AJ111" i="36"/>
  <c r="AK113" i="36"/>
  <c r="AH113" i="36"/>
  <c r="AF113" i="36"/>
  <c r="AC113" i="36"/>
  <c r="AE111" i="36"/>
  <c r="AA113" i="36"/>
  <c r="AA186" i="36" s="1"/>
  <c r="AA111" i="36"/>
  <c r="AF111" i="36" s="1"/>
  <c r="Z113" i="36"/>
  <c r="Z111" i="36"/>
  <c r="Z185" i="36" s="1"/>
  <c r="X113" i="36"/>
  <c r="X111" i="36"/>
  <c r="AC111" i="36" s="1"/>
  <c r="V113" i="36"/>
  <c r="V186" i="36" s="1"/>
  <c r="V111" i="36"/>
  <c r="V185" i="36" s="1"/>
  <c r="X185" i="36"/>
  <c r="Y185" i="36"/>
  <c r="AD185" i="36"/>
  <c r="AI185" i="36"/>
  <c r="AN185" i="36"/>
  <c r="AS185" i="36"/>
  <c r="Y186" i="36"/>
  <c r="Z186" i="36"/>
  <c r="AD186" i="36"/>
  <c r="AI186" i="36"/>
  <c r="AN186" i="36"/>
  <c r="AS186" i="36"/>
  <c r="Z187" i="36"/>
  <c r="Q185" i="36"/>
  <c r="S185" i="36"/>
  <c r="T185" i="36"/>
  <c r="Q186" i="36"/>
  <c r="S186" i="36"/>
  <c r="T186" i="36"/>
  <c r="Q187" i="36"/>
  <c r="S187" i="36"/>
  <c r="T187" i="36"/>
  <c r="U187" i="36"/>
  <c r="U186" i="36"/>
  <c r="U185" i="36"/>
  <c r="AS113" i="36"/>
  <c r="AS111" i="36"/>
  <c r="AN113" i="36"/>
  <c r="AN111" i="36"/>
  <c r="AJ113" i="36"/>
  <c r="AJ186" i="36" s="1"/>
  <c r="AI113" i="36"/>
  <c r="AI111" i="36"/>
  <c r="AE113" i="36"/>
  <c r="AE186" i="36" s="1"/>
  <c r="AD113" i="36"/>
  <c r="AD111" i="36"/>
  <c r="AA116" i="36"/>
  <c r="AA187" i="36" s="1"/>
  <c r="Z116" i="36"/>
  <c r="AE116" i="36" s="1"/>
  <c r="Y116" i="36"/>
  <c r="AD116" i="36" s="1"/>
  <c r="X116" i="36"/>
  <c r="AC116" i="36" s="1"/>
  <c r="Y113" i="36"/>
  <c r="Y111" i="36"/>
  <c r="V116" i="36"/>
  <c r="V187" i="36" s="1"/>
  <c r="AI183" i="36"/>
  <c r="AK182" i="36"/>
  <c r="AN98" i="36"/>
  <c r="AH182" i="36"/>
  <c r="AD96" i="36"/>
  <c r="AD94" i="36"/>
  <c r="AC94" i="36"/>
  <c r="Z101" i="36"/>
  <c r="AC101" i="36"/>
  <c r="AF96" i="36"/>
  <c r="AA101" i="36"/>
  <c r="AA183" i="36" s="1"/>
  <c r="AE101" i="36"/>
  <c r="Y96" i="36"/>
  <c r="Y94" i="36"/>
  <c r="X94" i="36"/>
  <c r="X96" i="36"/>
  <c r="AC96" i="36" s="1"/>
  <c r="V96" i="36"/>
  <c r="V94" i="36"/>
  <c r="V180" i="36" s="1"/>
  <c r="AC182" i="36"/>
  <c r="AD182" i="36"/>
  <c r="AF182" i="36"/>
  <c r="AI182" i="36"/>
  <c r="AC183" i="36"/>
  <c r="AD183" i="36"/>
  <c r="AN101" i="36"/>
  <c r="AN183" i="36" s="1"/>
  <c r="AM101" i="36"/>
  <c r="AM183" i="36" s="1"/>
  <c r="AH183" i="36"/>
  <c r="AF101" i="36"/>
  <c r="AD101" i="36"/>
  <c r="AF98" i="36"/>
  <c r="AD98" i="36"/>
  <c r="AC98" i="36"/>
  <c r="AD180" i="36"/>
  <c r="Z183" i="36"/>
  <c r="Y101" i="36"/>
  <c r="Y183" i="36" s="1"/>
  <c r="X101" i="36"/>
  <c r="AA98" i="36"/>
  <c r="Y98" i="36"/>
  <c r="X98" i="36"/>
  <c r="X182" i="36" s="1"/>
  <c r="Y181" i="36"/>
  <c r="Y180" i="36"/>
  <c r="Y182" i="36"/>
  <c r="AA182" i="36"/>
  <c r="X183" i="36"/>
  <c r="V181" i="36"/>
  <c r="V101" i="36"/>
  <c r="V183" i="36" s="1"/>
  <c r="V98" i="36"/>
  <c r="V182" i="36" s="1"/>
  <c r="Q180" i="36"/>
  <c r="S180" i="36"/>
  <c r="T180" i="36"/>
  <c r="U180" i="36"/>
  <c r="Q181" i="36"/>
  <c r="S181" i="36"/>
  <c r="T181" i="36"/>
  <c r="U181" i="36"/>
  <c r="Q182" i="36"/>
  <c r="S182" i="36"/>
  <c r="T182" i="36"/>
  <c r="U182" i="36"/>
  <c r="Q183" i="36"/>
  <c r="S183" i="36"/>
  <c r="T183" i="36"/>
  <c r="U183" i="36"/>
  <c r="Y176" i="36"/>
  <c r="Y63" i="36"/>
  <c r="X63" i="36"/>
  <c r="AJ68" i="36"/>
  <c r="AI68" i="36"/>
  <c r="AH68" i="36"/>
  <c r="AH65" i="36"/>
  <c r="AI65" i="36"/>
  <c r="AJ65" i="36"/>
  <c r="AK65" i="36"/>
  <c r="AK177" i="36"/>
  <c r="AO65" i="36"/>
  <c r="AT65" i="36" s="1"/>
  <c r="AN65" i="36"/>
  <c r="AS65" i="36" s="1"/>
  <c r="AH177" i="36"/>
  <c r="AI63" i="36"/>
  <c r="AH63" i="36"/>
  <c r="AM63" i="36" s="1"/>
  <c r="AR63" i="36" s="1"/>
  <c r="AJ61" i="36"/>
  <c r="AO61" i="36" s="1"/>
  <c r="AT61" i="36" s="1"/>
  <c r="AI61" i="36"/>
  <c r="AI175" i="36" s="1"/>
  <c r="AH61" i="36"/>
  <c r="AE68" i="36"/>
  <c r="AD178" i="36"/>
  <c r="AE63" i="36"/>
  <c r="AE176" i="36" s="1"/>
  <c r="AD63" i="36"/>
  <c r="AD176" i="36" s="1"/>
  <c r="AC176" i="36"/>
  <c r="AE61" i="36"/>
  <c r="AD61" i="36"/>
  <c r="AC175" i="36"/>
  <c r="AO68" i="36"/>
  <c r="AT68" i="36" s="1"/>
  <c r="AF65" i="36"/>
  <c r="AF177" i="36" s="1"/>
  <c r="AE65" i="36"/>
  <c r="AE177" i="36" s="1"/>
  <c r="AD65" i="36"/>
  <c r="AD177" i="36" s="1"/>
  <c r="AC65" i="36"/>
  <c r="AC177" i="36" s="1"/>
  <c r="AD175" i="36"/>
  <c r="AE175" i="36"/>
  <c r="AC178" i="36"/>
  <c r="AE178" i="36"/>
  <c r="Z68" i="36"/>
  <c r="Z178" i="36" s="1"/>
  <c r="Y68" i="36"/>
  <c r="Y178" i="36" s="1"/>
  <c r="Y61" i="36"/>
  <c r="Y175" i="36" s="1"/>
  <c r="X61" i="36"/>
  <c r="X175" i="36" s="1"/>
  <c r="X176" i="36"/>
  <c r="X68" i="36"/>
  <c r="X178" i="36" s="1"/>
  <c r="Z61" i="36"/>
  <c r="Z175" i="36" s="1"/>
  <c r="X65" i="36"/>
  <c r="AA65" i="36"/>
  <c r="Z65" i="36"/>
  <c r="Y65" i="36"/>
  <c r="Z176" i="36"/>
  <c r="V177" i="36"/>
  <c r="X177" i="36"/>
  <c r="Y177" i="36"/>
  <c r="Z177" i="36"/>
  <c r="AA177" i="36"/>
  <c r="Q176" i="36"/>
  <c r="S176" i="36"/>
  <c r="T176" i="36"/>
  <c r="Q177" i="36"/>
  <c r="S177" i="36"/>
  <c r="T177" i="36"/>
  <c r="Q178" i="36"/>
  <c r="S178" i="36"/>
  <c r="T178" i="36"/>
  <c r="U178" i="36"/>
  <c r="U176" i="36"/>
  <c r="U177" i="36"/>
  <c r="U175" i="36"/>
  <c r="Q175" i="36"/>
  <c r="S175" i="36"/>
  <c r="T175" i="36"/>
  <c r="AD56" i="39"/>
  <c r="AE56" i="39" s="1"/>
  <c r="AF56" i="39" s="1"/>
  <c r="Y56" i="39"/>
  <c r="Z56" i="39" s="1"/>
  <c r="AA56" i="39" s="1"/>
  <c r="R45" i="36"/>
  <c r="U54" i="39"/>
  <c r="T54" i="39"/>
  <c r="S54" i="39"/>
  <c r="R54" i="39"/>
  <c r="Q54" i="39"/>
  <c r="P54" i="39"/>
  <c r="O54" i="39"/>
  <c r="N54" i="39"/>
  <c r="M54" i="39"/>
  <c r="L54" i="39"/>
  <c r="K54" i="39"/>
  <c r="J54" i="39"/>
  <c r="I54" i="39"/>
  <c r="H54" i="39"/>
  <c r="G54" i="39"/>
  <c r="F54" i="39"/>
  <c r="E54" i="39"/>
  <c r="AU34" i="39"/>
  <c r="AT34" i="39"/>
  <c r="AS34" i="39"/>
  <c r="AR34" i="39"/>
  <c r="AP34" i="39"/>
  <c r="AO34" i="39"/>
  <c r="AN34" i="39"/>
  <c r="AM34" i="39"/>
  <c r="AD34" i="39"/>
  <c r="AC34" i="39"/>
  <c r="AA34" i="39"/>
  <c r="Z34" i="39"/>
  <c r="Y34" i="39"/>
  <c r="X34" i="39"/>
  <c r="AJ61" i="38" l="1"/>
  <c r="AJ61" i="44" s="1"/>
  <c r="AK154" i="42"/>
  <c r="AI178" i="36"/>
  <c r="AM68" i="36"/>
  <c r="W37" i="44"/>
  <c r="V14" i="43"/>
  <c r="V99" i="41"/>
  <c r="V66" i="41"/>
  <c r="V7" i="46"/>
  <c r="V127" i="41"/>
  <c r="W7" i="45"/>
  <c r="W7" i="46" s="1"/>
  <c r="M48" i="45"/>
  <c r="M48" i="46" s="1"/>
  <c r="M46" i="46"/>
  <c r="M20" i="43"/>
  <c r="M11" i="44"/>
  <c r="V35" i="43"/>
  <c r="V35" i="44" s="1"/>
  <c r="V30" i="44"/>
  <c r="H48" i="45"/>
  <c r="H48" i="46" s="1"/>
  <c r="H46" i="46"/>
  <c r="H20" i="43"/>
  <c r="H11" i="44"/>
  <c r="AJ35" i="41"/>
  <c r="AK35" i="41" s="1"/>
  <c r="AI35" i="42"/>
  <c r="V12" i="45"/>
  <c r="V12" i="46" s="1"/>
  <c r="V53" i="46"/>
  <c r="AA58" i="45"/>
  <c r="Z58" i="46"/>
  <c r="AJ144" i="42"/>
  <c r="AE53" i="42"/>
  <c r="R22" i="45"/>
  <c r="G39" i="45"/>
  <c r="O55" i="45"/>
  <c r="O39" i="45"/>
  <c r="X53" i="45"/>
  <c r="F39" i="45"/>
  <c r="F41" i="45" s="1"/>
  <c r="G40" i="45" s="1"/>
  <c r="Q22" i="45"/>
  <c r="AM56" i="45"/>
  <c r="Q37" i="45"/>
  <c r="Q39" i="45" s="1"/>
  <c r="L37" i="45"/>
  <c r="M31" i="45"/>
  <c r="M37" i="45"/>
  <c r="K37" i="45"/>
  <c r="K39" i="45" s="1"/>
  <c r="R29" i="45"/>
  <c r="R37" i="45" s="1"/>
  <c r="R39" i="45" s="1"/>
  <c r="H54" i="45"/>
  <c r="M27" i="45"/>
  <c r="M10" i="45"/>
  <c r="M54" i="45" s="1"/>
  <c r="H39" i="45"/>
  <c r="H41" i="45" s="1"/>
  <c r="P55" i="45"/>
  <c r="L22" i="45"/>
  <c r="L55" i="45" s="1"/>
  <c r="U55" i="45"/>
  <c r="Z53" i="43"/>
  <c r="Z53" i="44" s="1"/>
  <c r="AC55" i="43"/>
  <c r="AA56" i="43"/>
  <c r="AA56" i="44" s="1"/>
  <c r="AR49" i="43"/>
  <c r="AM50" i="43"/>
  <c r="AH19" i="43"/>
  <c r="AI19" i="43" s="1"/>
  <c r="AJ19" i="43" s="1"/>
  <c r="AK19" i="43" s="1"/>
  <c r="AG19" i="43"/>
  <c r="AS49" i="43"/>
  <c r="AN50" i="43"/>
  <c r="AM32" i="43"/>
  <c r="AN32" i="43" s="1"/>
  <c r="AO32" i="43" s="1"/>
  <c r="AP32" i="43" s="1"/>
  <c r="AL32" i="43"/>
  <c r="AM13" i="43"/>
  <c r="AN13" i="43" s="1"/>
  <c r="AO13" i="43" s="1"/>
  <c r="AP13" i="43" s="1"/>
  <c r="AL13" i="43"/>
  <c r="AC31" i="43"/>
  <c r="AD31" i="43" s="1"/>
  <c r="AE31" i="43" s="1"/>
  <c r="AF31" i="43" s="1"/>
  <c r="AB31" i="43"/>
  <c r="AM24" i="43"/>
  <c r="AN24" i="43" s="1"/>
  <c r="AO24" i="43" s="1"/>
  <c r="AP24" i="43" s="1"/>
  <c r="AL24" i="43"/>
  <c r="Y25" i="43"/>
  <c r="X30" i="43"/>
  <c r="AR47" i="43"/>
  <c r="AM48" i="43"/>
  <c r="W35" i="43"/>
  <c r="W35" i="44" s="1"/>
  <c r="AR51" i="43"/>
  <c r="AM52" i="43"/>
  <c r="AU50" i="43"/>
  <c r="AD23" i="43"/>
  <c r="AM18" i="43"/>
  <c r="AN18" i="43" s="1"/>
  <c r="AO18" i="43" s="1"/>
  <c r="AP18" i="43" s="1"/>
  <c r="AL18" i="43"/>
  <c r="AM26" i="43"/>
  <c r="AN26" i="43" s="1"/>
  <c r="AO26" i="43" s="1"/>
  <c r="AP26" i="43" s="1"/>
  <c r="AL26" i="43"/>
  <c r="AQ33" i="43"/>
  <c r="AR33" i="43"/>
  <c r="AS33" i="43" s="1"/>
  <c r="AT33" i="43" s="1"/>
  <c r="AU33" i="43" s="1"/>
  <c r="AV33" i="43" s="1"/>
  <c r="Y53" i="43"/>
  <c r="AM34" i="43"/>
  <c r="AN34" i="43" s="1"/>
  <c r="AO34" i="43" s="1"/>
  <c r="AP34" i="43" s="1"/>
  <c r="AL34" i="43"/>
  <c r="AT47" i="43"/>
  <c r="AO48" i="43"/>
  <c r="AM27" i="43"/>
  <c r="AN27" i="43" s="1"/>
  <c r="AO27" i="43" s="1"/>
  <c r="AP27" i="43" s="1"/>
  <c r="AL27" i="43"/>
  <c r="AT49" i="43"/>
  <c r="AO50" i="43"/>
  <c r="W63" i="43"/>
  <c r="W67" i="43"/>
  <c r="AV8" i="43"/>
  <c r="AV8" i="44" s="1"/>
  <c r="AU48" i="43"/>
  <c r="AM40" i="43"/>
  <c r="AN40" i="43" s="1"/>
  <c r="AO40" i="43" s="1"/>
  <c r="AP40" i="43" s="1"/>
  <c r="AL40" i="43"/>
  <c r="AS52" i="43"/>
  <c r="AS47" i="43"/>
  <c r="AN48" i="43"/>
  <c r="AM10" i="43"/>
  <c r="AN10" i="43" s="1"/>
  <c r="AO10" i="43" s="1"/>
  <c r="AP10" i="43" s="1"/>
  <c r="AL10" i="43"/>
  <c r="X63" i="43"/>
  <c r="Y28" i="43"/>
  <c r="AU52" i="43"/>
  <c r="AM15" i="43"/>
  <c r="AN15" i="43" s="1"/>
  <c r="AO15" i="43" s="1"/>
  <c r="AP15" i="43" s="1"/>
  <c r="AL15" i="43"/>
  <c r="AE54" i="43"/>
  <c r="Z56" i="43"/>
  <c r="Z56" i="44" s="1"/>
  <c r="AD54" i="43"/>
  <c r="AM39" i="43"/>
  <c r="AN39" i="43" s="1"/>
  <c r="AO39" i="43" s="1"/>
  <c r="AP39" i="43" s="1"/>
  <c r="AL39" i="43"/>
  <c r="AT51" i="43"/>
  <c r="AO52" i="43"/>
  <c r="Z16" i="43"/>
  <c r="AA55" i="43"/>
  <c r="AJ143" i="41"/>
  <c r="AC44" i="42"/>
  <c r="AK144" i="41"/>
  <c r="AI143" i="41"/>
  <c r="AE182" i="41"/>
  <c r="AJ98" i="41"/>
  <c r="AC181" i="41"/>
  <c r="AH96" i="41"/>
  <c r="AE177" i="41"/>
  <c r="AJ65" i="41"/>
  <c r="AJ176" i="41"/>
  <c r="AJ176" i="42" s="1"/>
  <c r="AO63" i="41"/>
  <c r="AO63" i="42" s="1"/>
  <c r="AI115" i="41"/>
  <c r="AI26" i="41"/>
  <c r="AJ26" i="41" s="1"/>
  <c r="AK26" i="41" s="1"/>
  <c r="AM26" i="41" s="1"/>
  <c r="AB112" i="41"/>
  <c r="AB113" i="41" s="1"/>
  <c r="X118" i="41"/>
  <c r="X120" i="41" s="1"/>
  <c r="X121" i="41" s="1"/>
  <c r="Y178" i="41"/>
  <c r="K32" i="41"/>
  <c r="K33" i="41"/>
  <c r="AE180" i="41"/>
  <c r="AJ94" i="41"/>
  <c r="N32" i="41"/>
  <c r="N33" i="41"/>
  <c r="AN115" i="41"/>
  <c r="AN187" i="41"/>
  <c r="AS116" i="41"/>
  <c r="AG124" i="41"/>
  <c r="AD186" i="41"/>
  <c r="AI113" i="41"/>
  <c r="AD112" i="41"/>
  <c r="AI7" i="41"/>
  <c r="AI135" i="41" s="1"/>
  <c r="AG26" i="41"/>
  <c r="V52" i="41"/>
  <c r="V54" i="41" s="1"/>
  <c r="X50" i="41"/>
  <c r="W50" i="41"/>
  <c r="AC153" i="41"/>
  <c r="G25" i="41"/>
  <c r="G27" i="41" s="1"/>
  <c r="G143" i="41"/>
  <c r="AK116" i="41"/>
  <c r="AF187" i="41"/>
  <c r="AF115" i="41"/>
  <c r="AC186" i="41"/>
  <c r="AC112" i="41"/>
  <c r="AH113" i="41"/>
  <c r="AR88" i="41"/>
  <c r="AQ88" i="41"/>
  <c r="Z178" i="41"/>
  <c r="AE68" i="41"/>
  <c r="AA77" i="41"/>
  <c r="Y177" i="41"/>
  <c r="AD65" i="41"/>
  <c r="U85" i="41"/>
  <c r="U86" i="41" s="1"/>
  <c r="Z86" i="41" s="1"/>
  <c r="AE86" i="41" s="1"/>
  <c r="AJ86" i="41" s="1"/>
  <c r="AO86" i="41" s="1"/>
  <c r="AT86" i="41" s="1"/>
  <c r="V83" i="41"/>
  <c r="AA178" i="41"/>
  <c r="AF68" i="41"/>
  <c r="P142" i="41"/>
  <c r="P29" i="41"/>
  <c r="P34" i="41" s="1"/>
  <c r="P147" i="41" s="1"/>
  <c r="AB18" i="41"/>
  <c r="AS55" i="41"/>
  <c r="AN7" i="41"/>
  <c r="AD129" i="41"/>
  <c r="AE163" i="41"/>
  <c r="AD168" i="41"/>
  <c r="AD170" i="41" s="1"/>
  <c r="AD117" i="41"/>
  <c r="AD102" i="41"/>
  <c r="AC172" i="41"/>
  <c r="AC28" i="41" s="1"/>
  <c r="AC18" i="41"/>
  <c r="R74" i="41"/>
  <c r="S76" i="41"/>
  <c r="S77" i="41" s="1"/>
  <c r="X77" i="41" s="1"/>
  <c r="Q90" i="41"/>
  <c r="W90" i="41" s="1"/>
  <c r="S74" i="41"/>
  <c r="X178" i="41"/>
  <c r="AC187" i="41"/>
  <c r="AC115" i="41"/>
  <c r="AG115" i="41" s="1"/>
  <c r="AG116" i="41" s="1"/>
  <c r="AH116" i="41"/>
  <c r="X180" i="41"/>
  <c r="AC94" i="41"/>
  <c r="AN123" i="41"/>
  <c r="P143" i="41"/>
  <c r="P25" i="41"/>
  <c r="P27" i="41" s="1"/>
  <c r="R30" i="41" s="1"/>
  <c r="AK181" i="41"/>
  <c r="AP96" i="41"/>
  <c r="G142" i="41"/>
  <c r="G29" i="41"/>
  <c r="G34" i="41" s="1"/>
  <c r="AO108" i="41"/>
  <c r="AS88" i="41"/>
  <c r="M25" i="41"/>
  <c r="M27" i="41" s="1"/>
  <c r="M30" i="41" s="1"/>
  <c r="M143" i="41"/>
  <c r="AD180" i="41"/>
  <c r="AI94" i="41"/>
  <c r="Q143" i="41"/>
  <c r="Q25" i="41"/>
  <c r="Q27" i="41" s="1"/>
  <c r="I32" i="41"/>
  <c r="I33" i="41"/>
  <c r="I146" i="41" s="1"/>
  <c r="M31" i="41"/>
  <c r="AJ181" i="41"/>
  <c r="AO96" i="41"/>
  <c r="K147" i="41"/>
  <c r="Y182" i="41"/>
  <c r="AD98" i="41"/>
  <c r="R25" i="41"/>
  <c r="R27" i="41" s="1"/>
  <c r="R143" i="41"/>
  <c r="AG109" i="41"/>
  <c r="Q142" i="41"/>
  <c r="Q29" i="41"/>
  <c r="Q34" i="41" s="1"/>
  <c r="Q147" i="41" s="1"/>
  <c r="F33" i="41"/>
  <c r="F32" i="41"/>
  <c r="AE119" i="41"/>
  <c r="AD16" i="41"/>
  <c r="AO116" i="41"/>
  <c r="AJ115" i="41"/>
  <c r="AJ187" i="41"/>
  <c r="AB115" i="41"/>
  <c r="AB116" i="41" s="1"/>
  <c r="X175" i="41"/>
  <c r="X175" i="42" s="1"/>
  <c r="AC61" i="42"/>
  <c r="V182" i="41"/>
  <c r="AA98" i="41"/>
  <c r="Y175" i="41"/>
  <c r="Y175" i="42" s="1"/>
  <c r="AD61" i="42"/>
  <c r="R142" i="41"/>
  <c r="R29" i="41"/>
  <c r="AM108" i="41"/>
  <c r="AL108" i="41"/>
  <c r="Y118" i="41"/>
  <c r="Y120" i="41" s="1"/>
  <c r="Y121" i="41" s="1"/>
  <c r="AB110" i="41"/>
  <c r="AK176" i="41"/>
  <c r="AP63" i="41"/>
  <c r="AK55" i="41"/>
  <c r="AF7" i="41"/>
  <c r="AG7" i="41" s="1"/>
  <c r="AD185" i="41"/>
  <c r="AI111" i="41"/>
  <c r="AD110" i="41"/>
  <c r="U142" i="41"/>
  <c r="U29" i="41"/>
  <c r="U34" i="41" s="1"/>
  <c r="U147" i="41" s="1"/>
  <c r="AG55" i="41"/>
  <c r="D33" i="41"/>
  <c r="D32" i="41"/>
  <c r="U143" i="41"/>
  <c r="U25" i="41"/>
  <c r="U27" i="41" s="1"/>
  <c r="E32" i="41"/>
  <c r="E33" i="41"/>
  <c r="X183" i="41"/>
  <c r="AC101" i="41"/>
  <c r="AE185" i="41"/>
  <c r="AJ111" i="41"/>
  <c r="AE110" i="41"/>
  <c r="Z175" i="41"/>
  <c r="Z175" i="42" s="1"/>
  <c r="AE61" i="42"/>
  <c r="V175" i="41"/>
  <c r="AM55" i="41"/>
  <c r="AL55" i="41"/>
  <c r="AH7" i="41"/>
  <c r="AM185" i="41"/>
  <c r="AR111" i="41"/>
  <c r="AM110" i="41"/>
  <c r="AA135" i="41"/>
  <c r="AJ186" i="41"/>
  <c r="AO113" i="41"/>
  <c r="AJ112" i="41"/>
  <c r="AC177" i="41"/>
  <c r="AH65" i="41"/>
  <c r="T142" i="41"/>
  <c r="T29" i="41"/>
  <c r="T34" i="41" s="1"/>
  <c r="T147" i="41" s="1"/>
  <c r="AB124" i="41"/>
  <c r="AD183" i="41"/>
  <c r="AI101" i="41"/>
  <c r="O32" i="41"/>
  <c r="O33" i="41"/>
  <c r="O146" i="41" s="1"/>
  <c r="V118" i="41"/>
  <c r="V120" i="41" s="1"/>
  <c r="V121" i="41" s="1"/>
  <c r="W110" i="41"/>
  <c r="AC135" i="41"/>
  <c r="AI181" i="41"/>
  <c r="AN96" i="41"/>
  <c r="AJ7" i="41"/>
  <c r="AJ135" i="41" s="1"/>
  <c r="AC176" i="41"/>
  <c r="AC176" i="42" s="1"/>
  <c r="AH63" i="42"/>
  <c r="N147" i="41"/>
  <c r="AF186" i="41"/>
  <c r="AK113" i="41"/>
  <c r="AF112" i="41"/>
  <c r="X182" i="41"/>
  <c r="AC98" i="41"/>
  <c r="AA185" i="41"/>
  <c r="AF111" i="41"/>
  <c r="AA110" i="41"/>
  <c r="AA118" i="41" s="1"/>
  <c r="AA120" i="41" s="1"/>
  <c r="AA121" i="41" s="1"/>
  <c r="S142" i="41"/>
  <c r="S29" i="41"/>
  <c r="S34" i="41" s="1"/>
  <c r="S147" i="41" s="1"/>
  <c r="T143" i="41"/>
  <c r="T25" i="41"/>
  <c r="T27" i="41" s="1"/>
  <c r="AK123" i="41"/>
  <c r="AI176" i="41"/>
  <c r="AI176" i="42" s="1"/>
  <c r="AN63" i="41"/>
  <c r="AN63" i="42" s="1"/>
  <c r="J32" i="41"/>
  <c r="J33" i="41"/>
  <c r="V183" i="41"/>
  <c r="AA101" i="41"/>
  <c r="AF44" i="42"/>
  <c r="H33" i="41"/>
  <c r="H36" i="41" s="1"/>
  <c r="H32" i="41"/>
  <c r="M142" i="41"/>
  <c r="M29" i="41"/>
  <c r="M34" i="41" s="1"/>
  <c r="L147" i="41"/>
  <c r="S57" i="41"/>
  <c r="T41" i="41"/>
  <c r="AN108" i="41"/>
  <c r="AN135" i="41" s="1"/>
  <c r="S143" i="41"/>
  <c r="S25" i="41"/>
  <c r="S27" i="41" s="1"/>
  <c r="AA69" i="41"/>
  <c r="Z14" i="41"/>
  <c r="AB69" i="41"/>
  <c r="H18" i="41"/>
  <c r="H19" i="41" s="1"/>
  <c r="D19" i="41"/>
  <c r="V180" i="41"/>
  <c r="AA94" i="41"/>
  <c r="AP108" i="41"/>
  <c r="AT55" i="41"/>
  <c r="AE183" i="41"/>
  <c r="AJ101" i="41"/>
  <c r="AC187" i="36"/>
  <c r="AH116" i="36"/>
  <c r="AD187" i="36"/>
  <c r="AI116" i="36"/>
  <c r="AE187" i="36"/>
  <c r="AJ116" i="36"/>
  <c r="Y187" i="36"/>
  <c r="X187" i="36"/>
  <c r="AF116" i="36"/>
  <c r="AE34" i="39"/>
  <c r="AF34" i="39"/>
  <c r="AJ63" i="36"/>
  <c r="AO63" i="36" s="1"/>
  <c r="AT63" i="36" s="1"/>
  <c r="Z182" i="36"/>
  <c r="AE94" i="36"/>
  <c r="AE180" i="36" s="1"/>
  <c r="AA61" i="36"/>
  <c r="AK61" i="36" s="1"/>
  <c r="AP61" i="36" s="1"/>
  <c r="AU61" i="36" s="1"/>
  <c r="AA185" i="36"/>
  <c r="AO113" i="36"/>
  <c r="AC186" i="36"/>
  <c r="X186" i="36"/>
  <c r="AH111" i="36"/>
  <c r="AC185" i="36"/>
  <c r="AP113" i="36"/>
  <c r="AF185" i="36"/>
  <c r="AK111" i="36"/>
  <c r="AS101" i="36"/>
  <c r="AS183" i="36" s="1"/>
  <c r="AN182" i="36"/>
  <c r="AS98" i="36"/>
  <c r="AS182" i="36" s="1"/>
  <c r="AM98" i="36"/>
  <c r="AP98" i="36"/>
  <c r="AO98" i="36"/>
  <c r="AO182" i="36" s="1"/>
  <c r="AJ182" i="36"/>
  <c r="AE182" i="36"/>
  <c r="AR101" i="36"/>
  <c r="AR183" i="36" s="1"/>
  <c r="AF181" i="36"/>
  <c r="AK181" i="36"/>
  <c r="AA181" i="36"/>
  <c r="AK183" i="36"/>
  <c r="AP101" i="36"/>
  <c r="AF183" i="36"/>
  <c r="AE183" i="36"/>
  <c r="Z181" i="36"/>
  <c r="AE181" i="36"/>
  <c r="AI181" i="36"/>
  <c r="AN96" i="36"/>
  <c r="AD181" i="36"/>
  <c r="AC181" i="36"/>
  <c r="X181" i="36"/>
  <c r="AC180" i="36"/>
  <c r="X180" i="36"/>
  <c r="AF94" i="36"/>
  <c r="AH178" i="36"/>
  <c r="AP65" i="36"/>
  <c r="AU65" i="36" s="1"/>
  <c r="AI177" i="36"/>
  <c r="AJ177" i="36"/>
  <c r="AM65" i="36"/>
  <c r="AR65" i="36" s="1"/>
  <c r="AH176" i="36"/>
  <c r="AF178" i="36"/>
  <c r="AK178" i="36"/>
  <c r="AA178" i="36"/>
  <c r="AJ178" i="36"/>
  <c r="AN68" i="36"/>
  <c r="AN61" i="36"/>
  <c r="AS61" i="36" s="1"/>
  <c r="AJ175" i="36"/>
  <c r="V178" i="36"/>
  <c r="E57" i="39"/>
  <c r="F57" i="39"/>
  <c r="G57" i="39"/>
  <c r="H57" i="39"/>
  <c r="I57" i="39"/>
  <c r="J57" i="39"/>
  <c r="K57" i="39"/>
  <c r="L57" i="39"/>
  <c r="M57" i="39"/>
  <c r="N57" i="39"/>
  <c r="O57" i="39"/>
  <c r="P57" i="39"/>
  <c r="Q57" i="39"/>
  <c r="R57" i="39"/>
  <c r="S57" i="39"/>
  <c r="T57" i="39"/>
  <c r="U57" i="39"/>
  <c r="AS68" i="36" l="1"/>
  <c r="AR68" i="36"/>
  <c r="AF47" i="45"/>
  <c r="AF47" i="46" s="1"/>
  <c r="AF29" i="45"/>
  <c r="AF31" i="44"/>
  <c r="AH22" i="41"/>
  <c r="M20" i="44"/>
  <c r="M43" i="43"/>
  <c r="M43" i="44" s="1"/>
  <c r="V127" i="42"/>
  <c r="W127" i="41"/>
  <c r="V130" i="41"/>
  <c r="V99" i="42"/>
  <c r="W99" i="41"/>
  <c r="W99" i="42" s="1"/>
  <c r="V12" i="41"/>
  <c r="V66" i="42"/>
  <c r="W66" i="41"/>
  <c r="W66" i="42" s="1"/>
  <c r="AA53" i="43"/>
  <c r="AA53" i="44" s="1"/>
  <c r="Y53" i="44"/>
  <c r="V14" i="44"/>
  <c r="W14" i="43"/>
  <c r="X35" i="43"/>
  <c r="X35" i="44" s="1"/>
  <c r="X30" i="44"/>
  <c r="H53" i="43"/>
  <c r="H53" i="44" s="1"/>
  <c r="H20" i="44"/>
  <c r="H43" i="43"/>
  <c r="H43" i="44" s="1"/>
  <c r="AD153" i="41"/>
  <c r="AC153" i="42"/>
  <c r="AJ35" i="42"/>
  <c r="AN56" i="45"/>
  <c r="AN56" i="46" s="1"/>
  <c r="AM56" i="46"/>
  <c r="X53" i="46"/>
  <c r="AA58" i="46"/>
  <c r="AC58" i="45"/>
  <c r="AB58" i="45"/>
  <c r="AB58" i="46" s="1"/>
  <c r="AK144" i="42"/>
  <c r="AO53" i="41"/>
  <c r="AJ53" i="42"/>
  <c r="L39" i="45"/>
  <c r="M40" i="45"/>
  <c r="I40" i="45"/>
  <c r="Q55" i="45"/>
  <c r="G41" i="45"/>
  <c r="M22" i="45"/>
  <c r="M55" i="45" s="1"/>
  <c r="Y53" i="45"/>
  <c r="W12" i="45"/>
  <c r="V35" i="45"/>
  <c r="V35" i="46" s="1"/>
  <c r="R55" i="45"/>
  <c r="M39" i="45"/>
  <c r="AC53" i="43"/>
  <c r="AC53" i="44" s="1"/>
  <c r="AT50" i="43"/>
  <c r="AS48" i="43"/>
  <c r="AR32" i="43"/>
  <c r="AS32" i="43" s="1"/>
  <c r="AT32" i="43" s="1"/>
  <c r="AU32" i="43" s="1"/>
  <c r="AV32" i="43" s="1"/>
  <c r="AQ32" i="43"/>
  <c r="AR27" i="43"/>
  <c r="AS27" i="43" s="1"/>
  <c r="AT27" i="43" s="1"/>
  <c r="AU27" i="43" s="1"/>
  <c r="AV27" i="43" s="1"/>
  <c r="AQ27" i="43"/>
  <c r="AD56" i="43"/>
  <c r="AR26" i="43"/>
  <c r="AS26" i="43" s="1"/>
  <c r="AT26" i="43" s="1"/>
  <c r="AU26" i="43" s="1"/>
  <c r="AV26" i="43" s="1"/>
  <c r="AQ26" i="43"/>
  <c r="AT48" i="43"/>
  <c r="AR48" i="43"/>
  <c r="AR15" i="43"/>
  <c r="AS15" i="43" s="1"/>
  <c r="AT15" i="43" s="1"/>
  <c r="AU15" i="43" s="1"/>
  <c r="AV15" i="43" s="1"/>
  <c r="AQ15" i="43"/>
  <c r="AM19" i="43"/>
  <c r="AN19" i="43" s="1"/>
  <c r="AO19" i="43" s="1"/>
  <c r="AP19" i="43" s="1"/>
  <c r="AL19" i="43"/>
  <c r="AC56" i="43"/>
  <c r="AC56" i="44" s="1"/>
  <c r="Z25" i="43"/>
  <c r="Y30" i="43"/>
  <c r="AR34" i="43"/>
  <c r="AS34" i="43" s="1"/>
  <c r="AT34" i="43" s="1"/>
  <c r="AU34" i="43" s="1"/>
  <c r="AV34" i="43" s="1"/>
  <c r="AQ34" i="43"/>
  <c r="AE23" i="43"/>
  <c r="AR24" i="43"/>
  <c r="AS24" i="43" s="1"/>
  <c r="AT24" i="43" s="1"/>
  <c r="AU24" i="43" s="1"/>
  <c r="AV24" i="43" s="1"/>
  <c r="AQ24" i="43"/>
  <c r="AS50" i="43"/>
  <c r="AR40" i="43"/>
  <c r="AS40" i="43" s="1"/>
  <c r="AT40" i="43" s="1"/>
  <c r="AU40" i="43" s="1"/>
  <c r="AV40" i="43" s="1"/>
  <c r="AQ40" i="43"/>
  <c r="AA16" i="43"/>
  <c r="AB16" i="43" s="1"/>
  <c r="AD55" i="43"/>
  <c r="AR18" i="43"/>
  <c r="AS18" i="43" s="1"/>
  <c r="AT18" i="43" s="1"/>
  <c r="AU18" i="43" s="1"/>
  <c r="AV18" i="43" s="1"/>
  <c r="AQ18" i="43"/>
  <c r="AE55" i="43"/>
  <c r="Y63" i="43"/>
  <c r="Z28" i="43"/>
  <c r="AF54" i="43"/>
  <c r="AH54" i="43" s="1"/>
  <c r="AH31" i="43"/>
  <c r="AG31" i="43"/>
  <c r="AT52" i="43"/>
  <c r="AR50" i="43"/>
  <c r="AR13" i="43"/>
  <c r="AS13" i="43" s="1"/>
  <c r="AT13" i="43" s="1"/>
  <c r="AU13" i="43" s="1"/>
  <c r="AV13" i="43" s="1"/>
  <c r="AQ13" i="43"/>
  <c r="AR39" i="43"/>
  <c r="AS39" i="43" s="1"/>
  <c r="AT39" i="43" s="1"/>
  <c r="AU39" i="43" s="1"/>
  <c r="AV39" i="43" s="1"/>
  <c r="AQ39" i="43"/>
  <c r="AR52" i="43"/>
  <c r="AC16" i="43"/>
  <c r="AR10" i="43"/>
  <c r="AS10" i="43" s="1"/>
  <c r="AT10" i="43" s="1"/>
  <c r="AU10" i="43" s="1"/>
  <c r="AV10" i="43" s="1"/>
  <c r="AQ10" i="43"/>
  <c r="AP55" i="41"/>
  <c r="AK7" i="41"/>
  <c r="AL7" i="41" s="1"/>
  <c r="AF77" i="41"/>
  <c r="AS187" i="41"/>
  <c r="AA180" i="41"/>
  <c r="AF94" i="41"/>
  <c r="AD136" i="41"/>
  <c r="AH177" i="41"/>
  <c r="AM65" i="41"/>
  <c r="AR65" i="41" s="1"/>
  <c r="AH135" i="41"/>
  <c r="AD175" i="41"/>
  <c r="AD175" i="42" s="1"/>
  <c r="AI61" i="42"/>
  <c r="AP181" i="41"/>
  <c r="AU96" i="41"/>
  <c r="AJ182" i="41"/>
  <c r="AO98" i="41"/>
  <c r="AP116" i="41"/>
  <c r="AK115" i="41"/>
  <c r="AK187" i="41"/>
  <c r="AC183" i="41"/>
  <c r="AH101" i="41"/>
  <c r="AD177" i="41"/>
  <c r="AI65" i="41"/>
  <c r="D142" i="41"/>
  <c r="D29" i="41"/>
  <c r="D34" i="41" s="1"/>
  <c r="I147" i="41" s="1"/>
  <c r="AE129" i="41"/>
  <c r="AF163" i="41"/>
  <c r="AE168" i="41"/>
  <c r="AE170" i="41" s="1"/>
  <c r="AE117" i="41"/>
  <c r="AE102" i="41"/>
  <c r="AA175" i="41"/>
  <c r="AA175" i="42" s="1"/>
  <c r="AF61" i="42"/>
  <c r="AF135" i="41"/>
  <c r="AQ26" i="41"/>
  <c r="AN26" i="41"/>
  <c r="AO26" i="41" s="1"/>
  <c r="AP26" i="41" s="1"/>
  <c r="AR26" i="41" s="1"/>
  <c r="AH181" i="41"/>
  <c r="AM96" i="41"/>
  <c r="AC178" i="41"/>
  <c r="AC178" i="42" s="1"/>
  <c r="AH68" i="41"/>
  <c r="AH68" i="42" s="1"/>
  <c r="AN181" i="41"/>
  <c r="AS96" i="41"/>
  <c r="Q32" i="41"/>
  <c r="Q33" i="41"/>
  <c r="Q146" i="41" s="1"/>
  <c r="T74" i="41"/>
  <c r="S90" i="41"/>
  <c r="AE178" i="41"/>
  <c r="AJ68" i="41"/>
  <c r="Y50" i="41"/>
  <c r="X52" i="41"/>
  <c r="X54" i="41" s="1"/>
  <c r="X54" i="42" s="1"/>
  <c r="AL26" i="41"/>
  <c r="AP123" i="41"/>
  <c r="AT108" i="41"/>
  <c r="T33" i="41"/>
  <c r="T146" i="41" s="1"/>
  <c r="T32" i="41"/>
  <c r="H142" i="41"/>
  <c r="H29" i="41"/>
  <c r="H34" i="41" s="1"/>
  <c r="AK44" i="42"/>
  <c r="AJ183" i="41"/>
  <c r="AO101" i="41"/>
  <c r="AA14" i="41"/>
  <c r="AB14" i="41" s="1"/>
  <c r="AC69" i="41"/>
  <c r="AF185" i="41"/>
  <c r="AK111" i="41"/>
  <c r="AF110" i="41"/>
  <c r="AT113" i="41"/>
  <c r="AO112" i="41"/>
  <c r="AO186" i="41"/>
  <c r="U32" i="41"/>
  <c r="U33" i="41"/>
  <c r="AU63" i="41"/>
  <c r="AA182" i="41"/>
  <c r="AF98" i="41"/>
  <c r="P32" i="41"/>
  <c r="P33" i="41"/>
  <c r="P146" i="41" s="1"/>
  <c r="W54" i="41"/>
  <c r="R31" i="41"/>
  <c r="R34" i="41" s="1"/>
  <c r="R147" i="41" s="1"/>
  <c r="AC77" i="41"/>
  <c r="N146" i="41"/>
  <c r="G33" i="41"/>
  <c r="L146" i="41" s="1"/>
  <c r="G32" i="41"/>
  <c r="AA183" i="41"/>
  <c r="AF101" i="41"/>
  <c r="W111" i="41"/>
  <c r="W118" i="41"/>
  <c r="W120" i="41" s="1"/>
  <c r="W121" i="41" s="1"/>
  <c r="AC175" i="41"/>
  <c r="AC175" i="42" s="1"/>
  <c r="AH61" i="42"/>
  <c r="AI180" i="41"/>
  <c r="AN94" i="41"/>
  <c r="AL123" i="41"/>
  <c r="AM144" i="41"/>
  <c r="AH176" i="41"/>
  <c r="AH176" i="42" s="1"/>
  <c r="AM63" i="41"/>
  <c r="AM63" i="42" s="1"/>
  <c r="AD178" i="41"/>
  <c r="AD178" i="42" s="1"/>
  <c r="AI68" i="41"/>
  <c r="AI68" i="42" s="1"/>
  <c r="AR55" i="41"/>
  <c r="AM7" i="41"/>
  <c r="S32" i="41"/>
  <c r="S33" i="41"/>
  <c r="S146" i="41" s="1"/>
  <c r="AO7" i="41"/>
  <c r="AT7" i="41"/>
  <c r="AT135" i="41" s="1"/>
  <c r="AS108" i="41"/>
  <c r="J146" i="41"/>
  <c r="AC182" i="41"/>
  <c r="AH98" i="41"/>
  <c r="AE175" i="41"/>
  <c r="AE175" i="42" s="1"/>
  <c r="AJ61" i="42"/>
  <c r="R33" i="41"/>
  <c r="R32" i="41"/>
  <c r="AV88" i="41"/>
  <c r="AJ180" i="41"/>
  <c r="AO94" i="41"/>
  <c r="AT63" i="41"/>
  <c r="AT63" i="42" s="1"/>
  <c r="AH44" i="42"/>
  <c r="AD172" i="41"/>
  <c r="AD28" i="41" s="1"/>
  <c r="AD18" i="41"/>
  <c r="AR185" i="41"/>
  <c r="AR110" i="41"/>
  <c r="AD182" i="41"/>
  <c r="AI98" i="41"/>
  <c r="AS123" i="41"/>
  <c r="AQ123" i="41"/>
  <c r="AH186" i="41"/>
  <c r="AH112" i="41"/>
  <c r="AM113" i="41"/>
  <c r="AI185" i="41"/>
  <c r="AN111" i="41"/>
  <c r="AI110" i="41"/>
  <c r="M147" i="41"/>
  <c r="AF119" i="41"/>
  <c r="AE16" i="41"/>
  <c r="AG119" i="41"/>
  <c r="AK143" i="41"/>
  <c r="AB118" i="41"/>
  <c r="AB120" i="41" s="1"/>
  <c r="AB121" i="41" s="1"/>
  <c r="AB111" i="41"/>
  <c r="AI186" i="41"/>
  <c r="AN113" i="41"/>
  <c r="AI112" i="41"/>
  <c r="U41" i="41"/>
  <c r="U43" i="41"/>
  <c r="U44" i="41" s="1"/>
  <c r="T57" i="41"/>
  <c r="AE118" i="41"/>
  <c r="AE120" i="41" s="1"/>
  <c r="AE121" i="41" s="1"/>
  <c r="AC180" i="41"/>
  <c r="AH94" i="41"/>
  <c r="AS63" i="41"/>
  <c r="AS63" i="42" s="1"/>
  <c r="AG112" i="41"/>
  <c r="AG113" i="41" s="1"/>
  <c r="AJ177" i="41"/>
  <c r="AO65" i="41"/>
  <c r="AT65" i="41" s="1"/>
  <c r="AK186" i="41"/>
  <c r="AP113" i="41"/>
  <c r="AK112" i="41"/>
  <c r="AI183" i="41"/>
  <c r="AN101" i="41"/>
  <c r="AO111" i="41"/>
  <c r="AJ185" i="41"/>
  <c r="AJ110" i="41"/>
  <c r="AL109" i="41"/>
  <c r="V85" i="41"/>
  <c r="V87" i="41" s="1"/>
  <c r="V6" i="41" s="1"/>
  <c r="W6" i="41" s="1"/>
  <c r="X83" i="41"/>
  <c r="W83" i="41"/>
  <c r="K146" i="41"/>
  <c r="AO135" i="41"/>
  <c r="M32" i="41"/>
  <c r="M33" i="41"/>
  <c r="AF178" i="41"/>
  <c r="AK68" i="41"/>
  <c r="AU108" i="41"/>
  <c r="T43" i="41"/>
  <c r="T44" i="41" s="1"/>
  <c r="AD118" i="41"/>
  <c r="AD120" i="41" s="1"/>
  <c r="AD121" i="41" s="1"/>
  <c r="AR108" i="41"/>
  <c r="AQ108" i="41"/>
  <c r="AO187" i="41"/>
  <c r="AO115" i="41"/>
  <c r="AT116" i="41"/>
  <c r="AO181" i="41"/>
  <c r="AT96" i="41"/>
  <c r="AM116" i="41"/>
  <c r="AH115" i="41"/>
  <c r="AL115" i="41" s="1"/>
  <c r="AL116" i="41" s="1"/>
  <c r="AH187" i="41"/>
  <c r="AC118" i="41"/>
  <c r="AC120" i="41" s="1"/>
  <c r="AC121" i="41" s="1"/>
  <c r="AN116" i="36"/>
  <c r="AI187" i="36"/>
  <c r="AO116" i="36"/>
  <c r="AJ187" i="36"/>
  <c r="AH187" i="36"/>
  <c r="AM116" i="36"/>
  <c r="AF187" i="36"/>
  <c r="AK116" i="36"/>
  <c r="AI34" i="39"/>
  <c r="AI57" i="39" s="1"/>
  <c r="AJ176" i="36"/>
  <c r="AO94" i="36"/>
  <c r="AO180" i="36" s="1"/>
  <c r="AA175" i="36"/>
  <c r="AF175" i="36"/>
  <c r="AO186" i="36"/>
  <c r="AT113" i="36"/>
  <c r="AT186" i="36" s="1"/>
  <c r="AE185" i="36"/>
  <c r="AH186" i="36"/>
  <c r="AM113" i="36"/>
  <c r="AM111" i="36"/>
  <c r="AH185" i="36"/>
  <c r="AF186" i="36"/>
  <c r="AK186" i="36"/>
  <c r="AP186" i="36"/>
  <c r="AU113" i="36"/>
  <c r="AU186" i="36" s="1"/>
  <c r="AP111" i="36"/>
  <c r="AK185" i="36"/>
  <c r="AP182" i="36"/>
  <c r="AU98" i="36"/>
  <c r="AU182" i="36" s="1"/>
  <c r="AR98" i="36"/>
  <c r="AR182" i="36" s="1"/>
  <c r="AM182" i="36"/>
  <c r="AT98" i="36"/>
  <c r="AT182" i="36" s="1"/>
  <c r="AP96" i="36"/>
  <c r="AU96" i="36" s="1"/>
  <c r="AU181" i="36" s="1"/>
  <c r="AP183" i="36"/>
  <c r="AU101" i="36"/>
  <c r="AU183" i="36" s="1"/>
  <c r="AO101" i="36"/>
  <c r="AJ183" i="36"/>
  <c r="AO96" i="36"/>
  <c r="AJ181" i="36"/>
  <c r="AS96" i="36"/>
  <c r="AS181" i="36" s="1"/>
  <c r="AN181" i="36"/>
  <c r="AI180" i="36"/>
  <c r="AN94" i="36"/>
  <c r="AM96" i="36"/>
  <c r="AH181" i="36"/>
  <c r="AH180" i="36"/>
  <c r="AM94" i="36"/>
  <c r="AF180" i="36"/>
  <c r="AF176" i="36"/>
  <c r="AF176" i="42" s="1"/>
  <c r="AK63" i="36"/>
  <c r="AK63" i="42" s="1"/>
  <c r="AA176" i="36"/>
  <c r="AK175" i="36"/>
  <c r="AP68" i="36"/>
  <c r="AU68" i="36" s="1"/>
  <c r="AI176" i="36"/>
  <c r="AN63" i="36"/>
  <c r="AS63" i="36" s="1"/>
  <c r="AH175" i="36"/>
  <c r="AM61" i="36"/>
  <c r="AR61" i="36" s="1"/>
  <c r="V16" i="38"/>
  <c r="V27" i="38"/>
  <c r="V12" i="42" l="1"/>
  <c r="W12" i="41"/>
  <c r="W12" i="42" s="1"/>
  <c r="V131" i="41"/>
  <c r="V131" i="42" s="1"/>
  <c r="V130" i="42"/>
  <c r="W127" i="42"/>
  <c r="W130" i="41"/>
  <c r="AG31" i="44"/>
  <c r="AG47" i="45"/>
  <c r="AG47" i="46" s="1"/>
  <c r="X7" i="45"/>
  <c r="W14" i="44"/>
  <c r="AF56" i="43"/>
  <c r="AF56" i="44" s="1"/>
  <c r="AD56" i="44"/>
  <c r="AH22" i="42"/>
  <c r="Y35" i="43"/>
  <c r="Y35" i="44" s="1"/>
  <c r="Y30" i="44"/>
  <c r="AF29" i="46"/>
  <c r="AG29" i="45"/>
  <c r="AG29" i="46" s="1"/>
  <c r="AE56" i="43"/>
  <c r="AE56" i="44" s="1"/>
  <c r="AI31" i="43"/>
  <c r="AH29" i="45"/>
  <c r="AH31" i="44"/>
  <c r="AH47" i="45"/>
  <c r="AH47" i="46" s="1"/>
  <c r="AI22" i="41"/>
  <c r="AI22" i="42" s="1"/>
  <c r="AM35" i="41"/>
  <c r="AK35" i="42"/>
  <c r="AL35" i="41"/>
  <c r="AE153" i="41"/>
  <c r="AD153" i="42"/>
  <c r="AO56" i="45"/>
  <c r="AO56" i="46" s="1"/>
  <c r="W12" i="46"/>
  <c r="Y53" i="46"/>
  <c r="AD58" i="45"/>
  <c r="AC58" i="46"/>
  <c r="AM144" i="42"/>
  <c r="AT53" i="41"/>
  <c r="AT53" i="42" s="1"/>
  <c r="AO53" i="42"/>
  <c r="Z53" i="45"/>
  <c r="M41" i="45"/>
  <c r="I41" i="45"/>
  <c r="J40" i="45" s="1"/>
  <c r="J41" i="45" s="1"/>
  <c r="K40" i="45" s="1"/>
  <c r="K41" i="45" s="1"/>
  <c r="L40" i="45" s="1"/>
  <c r="L41" i="45" s="1"/>
  <c r="V37" i="45"/>
  <c r="W35" i="45"/>
  <c r="AI54" i="43"/>
  <c r="AJ54" i="43"/>
  <c r="AR19" i="43"/>
  <c r="AS19" i="43" s="1"/>
  <c r="AT19" i="43" s="1"/>
  <c r="AU19" i="43" s="1"/>
  <c r="AV19" i="43" s="1"/>
  <c r="AQ19" i="43"/>
  <c r="AD53" i="43"/>
  <c r="AD53" i="44" s="1"/>
  <c r="AA28" i="43"/>
  <c r="Z63" i="43"/>
  <c r="AE16" i="43"/>
  <c r="AF23" i="43"/>
  <c r="AD16" i="43"/>
  <c r="AF55" i="43"/>
  <c r="AA25" i="43"/>
  <c r="Z30" i="43"/>
  <c r="AK54" i="43"/>
  <c r="AE172" i="41"/>
  <c r="AE28" i="41" s="1"/>
  <c r="AE18" i="41"/>
  <c r="AR63" i="41"/>
  <c r="AR63" i="42" s="1"/>
  <c r="AP44" i="41"/>
  <c r="AP44" i="42" s="1"/>
  <c r="AJ178" i="41"/>
  <c r="AO68" i="41"/>
  <c r="AD44" i="42"/>
  <c r="AK77" i="41"/>
  <c r="AM115" i="41"/>
  <c r="AM187" i="41"/>
  <c r="AR116" i="41"/>
  <c r="AM181" i="41"/>
  <c r="AR96" i="41"/>
  <c r="AI177" i="41"/>
  <c r="AN65" i="41"/>
  <c r="AS65" i="41" s="1"/>
  <c r="AI175" i="41"/>
  <c r="AI175" i="42" s="1"/>
  <c r="AN61" i="41"/>
  <c r="AN61" i="42" s="1"/>
  <c r="AP135" i="41"/>
  <c r="AP7" i="41"/>
  <c r="AU55" i="41"/>
  <c r="M146" i="41"/>
  <c r="M36" i="41"/>
  <c r="AS7" i="41"/>
  <c r="AS135" i="41" s="1"/>
  <c r="AK135" i="41"/>
  <c r="AI182" i="41"/>
  <c r="AN98" i="41"/>
  <c r="R146" i="41"/>
  <c r="R36" i="41"/>
  <c r="AN144" i="41"/>
  <c r="U146" i="41"/>
  <c r="AS26" i="41"/>
  <c r="AT26" i="41" s="1"/>
  <c r="AU26" i="41" s="1"/>
  <c r="AJ175" i="41"/>
  <c r="AJ175" i="42" s="1"/>
  <c r="AO61" i="41"/>
  <c r="AO61" i="42" s="1"/>
  <c r="AH183" i="41"/>
  <c r="AM101" i="41"/>
  <c r="AS113" i="41"/>
  <c r="AN112" i="41"/>
  <c r="AN186" i="41"/>
  <c r="Y52" i="41"/>
  <c r="Y54" i="41" s="1"/>
  <c r="Y54" i="42" s="1"/>
  <c r="Z50" i="41"/>
  <c r="AH178" i="41"/>
  <c r="AH178" i="42" s="1"/>
  <c r="AM68" i="41"/>
  <c r="AM68" i="42" s="1"/>
  <c r="AO185" i="41"/>
  <c r="AT111" i="41"/>
  <c r="AO110" i="41"/>
  <c r="AT181" i="41"/>
  <c r="AH119" i="41"/>
  <c r="AF16" i="41"/>
  <c r="AG16" i="41" s="1"/>
  <c r="AH77" i="41"/>
  <c r="AT187" i="41"/>
  <c r="AT115" i="41"/>
  <c r="AH180" i="41"/>
  <c r="AM94" i="41"/>
  <c r="AN183" i="41"/>
  <c r="AS101" i="41"/>
  <c r="AN180" i="41"/>
  <c r="AS94" i="41"/>
  <c r="AM143" i="41"/>
  <c r="U74" i="41"/>
  <c r="T90" i="41"/>
  <c r="AF182" i="41"/>
  <c r="AK98" i="41"/>
  <c r="AN185" i="41"/>
  <c r="AS111" i="41"/>
  <c r="AN110" i="41"/>
  <c r="AQ7" i="41"/>
  <c r="AT186" i="41"/>
  <c r="AT112" i="41"/>
  <c r="T76" i="41"/>
  <c r="T77" i="41" s="1"/>
  <c r="Y77" i="41" s="1"/>
  <c r="AF175" i="41"/>
  <c r="AF175" i="42" s="1"/>
  <c r="AK61" i="42"/>
  <c r="X6" i="41"/>
  <c r="X6" i="42" s="1"/>
  <c r="AQ124" i="41"/>
  <c r="AE136" i="41"/>
  <c r="AP187" i="41"/>
  <c r="AU116" i="41"/>
  <c r="AP115" i="41"/>
  <c r="W87" i="41"/>
  <c r="AU181" i="41"/>
  <c r="AV108" i="41"/>
  <c r="AU113" i="41"/>
  <c r="AP112" i="41"/>
  <c r="AP186" i="41"/>
  <c r="AE44" i="42"/>
  <c r="AQ55" i="41"/>
  <c r="AK185" i="41"/>
  <c r="AK110" i="41"/>
  <c r="AL110" i="41" s="1"/>
  <c r="AP111" i="41"/>
  <c r="AU123" i="41"/>
  <c r="AF180" i="41"/>
  <c r="AK94" i="41"/>
  <c r="AI178" i="41"/>
  <c r="AI178" i="42" s="1"/>
  <c r="AN68" i="41"/>
  <c r="AN68" i="42" s="1"/>
  <c r="AF129" i="41"/>
  <c r="AG129" i="41" s="1"/>
  <c r="AH163" i="41"/>
  <c r="AF168" i="41"/>
  <c r="AF170" i="41" s="1"/>
  <c r="AF117" i="41"/>
  <c r="AF118" i="41" s="1"/>
  <c r="AF120" i="41" s="1"/>
  <c r="AF121" i="41" s="1"/>
  <c r="AF102" i="41"/>
  <c r="AG102" i="41" s="1"/>
  <c r="AO180" i="41"/>
  <c r="AT94" i="41"/>
  <c r="AF183" i="41"/>
  <c r="AK101" i="41"/>
  <c r="AK178" i="41"/>
  <c r="AP68" i="41"/>
  <c r="AH175" i="41"/>
  <c r="AH175" i="42" s="1"/>
  <c r="AM61" i="41"/>
  <c r="AM61" i="42" s="1"/>
  <c r="X85" i="41"/>
  <c r="X87" i="41" s="1"/>
  <c r="Y83" i="41"/>
  <c r="V41" i="41"/>
  <c r="V43" i="41" s="1"/>
  <c r="V45" i="41" s="1"/>
  <c r="U57" i="41"/>
  <c r="AM186" i="41"/>
  <c r="AR113" i="41"/>
  <c r="AM112" i="41"/>
  <c r="AM44" i="41"/>
  <c r="AM44" i="42" s="1"/>
  <c r="AH182" i="41"/>
  <c r="AM98" i="41"/>
  <c r="AR7" i="41"/>
  <c r="AV55" i="41"/>
  <c r="AN143" i="41"/>
  <c r="AO182" i="41"/>
  <c r="AT98" i="41"/>
  <c r="AO183" i="41"/>
  <c r="AT101" i="41"/>
  <c r="AL124" i="41"/>
  <c r="AQ109" i="41"/>
  <c r="AL112" i="41"/>
  <c r="AL113" i="41" s="1"/>
  <c r="AM135" i="41"/>
  <c r="V134" i="41"/>
  <c r="AC14" i="41"/>
  <c r="AD69" i="41"/>
  <c r="AS181" i="41"/>
  <c r="AS115" i="41"/>
  <c r="AG110" i="41"/>
  <c r="AP116" i="36"/>
  <c r="AK187" i="36"/>
  <c r="AR116" i="36"/>
  <c r="AR187" i="36" s="1"/>
  <c r="AM187" i="36"/>
  <c r="AO187" i="36"/>
  <c r="AT116" i="36"/>
  <c r="AT187" i="36" s="1"/>
  <c r="AN187" i="36"/>
  <c r="AS116" i="36"/>
  <c r="AS187" i="36" s="1"/>
  <c r="AJ34" i="39"/>
  <c r="AJ180" i="36"/>
  <c r="AT94" i="36"/>
  <c r="AT180" i="36" s="1"/>
  <c r="AO111" i="36"/>
  <c r="AJ185" i="36"/>
  <c r="AR113" i="36"/>
  <c r="AR186" i="36" s="1"/>
  <c r="AM186" i="36"/>
  <c r="AR111" i="36"/>
  <c r="AR185" i="36" s="1"/>
  <c r="AM185" i="36"/>
  <c r="AP185" i="36"/>
  <c r="AU111" i="36"/>
  <c r="AU185" i="36" s="1"/>
  <c r="AP181" i="36"/>
  <c r="AO183" i="36"/>
  <c r="AT101" i="36"/>
  <c r="AT183" i="36" s="1"/>
  <c r="AT96" i="36"/>
  <c r="AT181" i="36" s="1"/>
  <c r="AO181" i="36"/>
  <c r="AS94" i="36"/>
  <c r="AS180" i="36" s="1"/>
  <c r="AN180" i="36"/>
  <c r="AM181" i="36"/>
  <c r="AR96" i="36"/>
  <c r="AR181" i="36" s="1"/>
  <c r="AR94" i="36"/>
  <c r="AR180" i="36" s="1"/>
  <c r="AM180" i="36"/>
  <c r="AP94" i="36"/>
  <c r="AK180" i="36"/>
  <c r="AK176" i="36"/>
  <c r="AK176" i="42" s="1"/>
  <c r="AP63" i="36"/>
  <c r="F145" i="36"/>
  <c r="E145" i="36"/>
  <c r="L145" i="36"/>
  <c r="K145" i="36"/>
  <c r="J145" i="36"/>
  <c r="I145" i="36"/>
  <c r="N145" i="36"/>
  <c r="S145" i="36"/>
  <c r="Q145" i="36"/>
  <c r="P145" i="36"/>
  <c r="O145" i="36"/>
  <c r="T145" i="36"/>
  <c r="U145" i="36"/>
  <c r="AJ57" i="39" l="1"/>
  <c r="AJ34" i="46"/>
  <c r="AU63" i="36"/>
  <c r="AU63" i="42" s="1"/>
  <c r="AP63" i="42"/>
  <c r="Z35" i="43"/>
  <c r="Z35" i="44" s="1"/>
  <c r="Z30" i="44"/>
  <c r="X7" i="46"/>
  <c r="X14" i="43"/>
  <c r="X66" i="41"/>
  <c r="X127" i="41"/>
  <c r="X99" i="41"/>
  <c r="W131" i="41"/>
  <c r="W131" i="42" s="1"/>
  <c r="W130" i="42"/>
  <c r="AH29" i="46"/>
  <c r="AJ31" i="43"/>
  <c r="AI29" i="45"/>
  <c r="AI29" i="46" s="1"/>
  <c r="AI31" i="44"/>
  <c r="AI47" i="45"/>
  <c r="AI47" i="46" s="1"/>
  <c r="AJ22" i="41"/>
  <c r="AH56" i="43"/>
  <c r="AE153" i="42"/>
  <c r="AE155" i="41"/>
  <c r="AF153" i="41"/>
  <c r="AL35" i="42"/>
  <c r="AH153" i="41"/>
  <c r="AM35" i="42"/>
  <c r="AN35" i="41"/>
  <c r="AP56" i="45"/>
  <c r="AP56" i="46" s="1"/>
  <c r="AE58" i="45"/>
  <c r="AD58" i="46"/>
  <c r="Z53" i="46"/>
  <c r="V37" i="46"/>
  <c r="W37" i="45"/>
  <c r="W35" i="46"/>
  <c r="AN144" i="42"/>
  <c r="N40" i="45"/>
  <c r="R40" i="45"/>
  <c r="AA53" i="45"/>
  <c r="AC28" i="43"/>
  <c r="AB28" i="43"/>
  <c r="AB67" i="43" s="1"/>
  <c r="AA63" i="43"/>
  <c r="AB37" i="43"/>
  <c r="AF16" i="43"/>
  <c r="AG16" i="43" s="1"/>
  <c r="AH55" i="43"/>
  <c r="AE53" i="43"/>
  <c r="AE53" i="44" s="1"/>
  <c r="AH23" i="43"/>
  <c r="AG23" i="43"/>
  <c r="AN54" i="43"/>
  <c r="AC25" i="43"/>
  <c r="AB25" i="43"/>
  <c r="AB30" i="43" s="1"/>
  <c r="AA30" i="43"/>
  <c r="AM54" i="43"/>
  <c r="V46" i="41"/>
  <c r="W45" i="41"/>
  <c r="W46" i="41" s="1"/>
  <c r="V62" i="41"/>
  <c r="V59" i="41"/>
  <c r="AL111" i="41"/>
  <c r="AM182" i="41"/>
  <c r="AR98" i="41"/>
  <c r="AU68" i="41"/>
  <c r="AK182" i="41"/>
  <c r="AP98" i="41"/>
  <c r="AM180" i="41"/>
  <c r="AR94" i="41"/>
  <c r="AI119" i="41"/>
  <c r="AH16" i="41"/>
  <c r="AN182" i="41"/>
  <c r="AS98" i="41"/>
  <c r="AS61" i="41"/>
  <c r="AS61" i="42" s="1"/>
  <c r="AQ112" i="41"/>
  <c r="AQ113" i="41" s="1"/>
  <c r="V74" i="41"/>
  <c r="U90" i="41"/>
  <c r="AM183" i="41"/>
  <c r="AR101" i="41"/>
  <c r="U76" i="41"/>
  <c r="U77" i="41" s="1"/>
  <c r="Z77" i="41" s="1"/>
  <c r="AM77" i="41"/>
  <c r="AT185" i="41"/>
  <c r="AT110" i="41"/>
  <c r="AV123" i="41"/>
  <c r="AT182" i="41"/>
  <c r="AT61" i="41"/>
  <c r="AT61" i="42" s="1"/>
  <c r="AR181" i="41"/>
  <c r="AU186" i="41"/>
  <c r="AU112" i="41"/>
  <c r="AT183" i="41"/>
  <c r="AT180" i="41"/>
  <c r="AD77" i="41"/>
  <c r="AR68" i="41"/>
  <c r="AR68" i="42" s="1"/>
  <c r="AI44" i="42"/>
  <c r="AV109" i="41"/>
  <c r="AF136" i="41"/>
  <c r="AU44" i="41"/>
  <c r="AU44" i="42" s="1"/>
  <c r="AS180" i="41"/>
  <c r="AV26" i="41"/>
  <c r="AR187" i="41"/>
  <c r="AR115" i="41"/>
  <c r="AS68" i="41"/>
  <c r="AS68" i="42" s="1"/>
  <c r="AT68" i="41"/>
  <c r="AK180" i="41"/>
  <c r="AP94" i="41"/>
  <c r="X41" i="41"/>
  <c r="W41" i="41"/>
  <c r="X43" i="41"/>
  <c r="X45" i="41" s="1"/>
  <c r="X45" i="42" s="1"/>
  <c r="V57" i="41"/>
  <c r="AB57" i="41" s="1"/>
  <c r="AU187" i="41"/>
  <c r="AU115" i="41"/>
  <c r="Z52" i="41"/>
  <c r="Z54" i="41" s="1"/>
  <c r="Z54" i="42" s="1"/>
  <c r="AA50" i="41"/>
  <c r="AG28" i="41"/>
  <c r="AG118" i="41"/>
  <c r="AG120" i="41" s="1"/>
  <c r="AG121" i="41" s="1"/>
  <c r="AG111" i="41"/>
  <c r="AD14" i="41"/>
  <c r="AE69" i="41"/>
  <c r="AK175" i="41"/>
  <c r="AK175" i="42" s="1"/>
  <c r="AP61" i="41"/>
  <c r="AP61" i="42" s="1"/>
  <c r="AP185" i="41"/>
  <c r="AU111" i="41"/>
  <c r="AP110" i="41"/>
  <c r="Y6" i="41"/>
  <c r="Y6" i="42" s="1"/>
  <c r="AQ115" i="41"/>
  <c r="AQ116" i="41" s="1"/>
  <c r="AG117" i="41"/>
  <c r="AS186" i="41"/>
  <c r="AS112" i="41"/>
  <c r="Z83" i="41"/>
  <c r="Y85" i="41"/>
  <c r="Y87" i="41" s="1"/>
  <c r="AF172" i="41"/>
  <c r="AF28" i="41" s="1"/>
  <c r="AF18" i="41"/>
  <c r="AG18" i="41" s="1"/>
  <c r="AJ44" i="42"/>
  <c r="AS185" i="41"/>
  <c r="AS110" i="41"/>
  <c r="AU7" i="41"/>
  <c r="AU135" i="41" s="1"/>
  <c r="AR44" i="41"/>
  <c r="AR44" i="42" s="1"/>
  <c r="X134" i="41"/>
  <c r="X134" i="42" s="1"/>
  <c r="AR112" i="41"/>
  <c r="AR186" i="41"/>
  <c r="AQ110" i="41"/>
  <c r="AR61" i="41"/>
  <c r="AR61" i="42" s="1"/>
  <c r="AH129" i="41"/>
  <c r="AI163" i="41"/>
  <c r="AH168" i="41"/>
  <c r="AH170" i="41" s="1"/>
  <c r="AH117" i="41"/>
  <c r="AH102" i="41"/>
  <c r="AO144" i="41"/>
  <c r="AP77" i="41"/>
  <c r="AK183" i="41"/>
  <c r="AP101" i="41"/>
  <c r="AO143" i="41"/>
  <c r="AR135" i="41"/>
  <c r="AS183" i="41"/>
  <c r="AP187" i="36"/>
  <c r="AU116" i="36"/>
  <c r="AU187" i="36" s="1"/>
  <c r="AK34" i="39"/>
  <c r="AK34" i="46" s="1"/>
  <c r="AT111" i="36"/>
  <c r="AT185" i="36" s="1"/>
  <c r="AO185" i="36"/>
  <c r="AU94" i="36"/>
  <c r="AU180" i="36" s="1"/>
  <c r="AP180" i="36"/>
  <c r="V22" i="36"/>
  <c r="AI56" i="39"/>
  <c r="AJ56" i="39" s="1"/>
  <c r="AK56" i="39" s="1"/>
  <c r="D54" i="39"/>
  <c r="T47" i="39"/>
  <c r="Q47" i="39"/>
  <c r="P47" i="39"/>
  <c r="O47" i="39"/>
  <c r="G47" i="39"/>
  <c r="F47" i="39"/>
  <c r="D47" i="39"/>
  <c r="H40" i="39"/>
  <c r="AV38" i="39"/>
  <c r="AQ38" i="39"/>
  <c r="AL38" i="39"/>
  <c r="AG38" i="39"/>
  <c r="AB38" i="39"/>
  <c r="U38" i="39"/>
  <c r="W38" i="39" s="1"/>
  <c r="T38" i="39"/>
  <c r="O38" i="39"/>
  <c r="J38" i="39"/>
  <c r="E38" i="39"/>
  <c r="F38" i="39" s="1"/>
  <c r="G38" i="39" s="1"/>
  <c r="D38" i="39"/>
  <c r="H38" i="39" s="1"/>
  <c r="S37" i="39"/>
  <c r="D37" i="39"/>
  <c r="AV36" i="39"/>
  <c r="AQ36" i="39"/>
  <c r="AL36" i="39"/>
  <c r="AG36" i="39"/>
  <c r="AB36" i="39"/>
  <c r="T36" i="39"/>
  <c r="P36" i="39"/>
  <c r="O36" i="39"/>
  <c r="J36" i="39"/>
  <c r="E36" i="39"/>
  <c r="T35" i="39"/>
  <c r="O35" i="39"/>
  <c r="J35" i="39"/>
  <c r="E35" i="39"/>
  <c r="AQ34" i="39"/>
  <c r="U34" i="39"/>
  <c r="T34" i="39"/>
  <c r="O34" i="39"/>
  <c r="O37" i="39" s="1"/>
  <c r="K34" i="39"/>
  <c r="L34" i="39" s="1"/>
  <c r="J34" i="39"/>
  <c r="M34" i="39" s="1"/>
  <c r="G34" i="39"/>
  <c r="E34" i="39"/>
  <c r="F34" i="39" s="1"/>
  <c r="T33" i="39"/>
  <c r="O33" i="39"/>
  <c r="P33" i="39" s="1"/>
  <c r="Q33" i="39" s="1"/>
  <c r="J33" i="39"/>
  <c r="E33" i="39"/>
  <c r="AV32" i="39"/>
  <c r="AQ32" i="39"/>
  <c r="AL32" i="39"/>
  <c r="AG32" i="39"/>
  <c r="AB32" i="39"/>
  <c r="T32" i="39"/>
  <c r="O32" i="39"/>
  <c r="J32" i="39"/>
  <c r="E32" i="39"/>
  <c r="AV31" i="39"/>
  <c r="AQ31" i="39"/>
  <c r="AL31" i="39"/>
  <c r="AG31" i="39"/>
  <c r="AB31" i="39"/>
  <c r="T31" i="39"/>
  <c r="O31" i="39"/>
  <c r="I31" i="39"/>
  <c r="G31" i="39"/>
  <c r="H31" i="39" s="1"/>
  <c r="AV30" i="39"/>
  <c r="AQ30" i="39"/>
  <c r="AL30" i="39"/>
  <c r="AG30" i="39"/>
  <c r="AB30" i="39"/>
  <c r="U30" i="39"/>
  <c r="W30" i="39" s="1"/>
  <c r="O30" i="39"/>
  <c r="P30" i="39" s="1"/>
  <c r="N30" i="39"/>
  <c r="L30" i="39"/>
  <c r="M30" i="39" s="1"/>
  <c r="J30" i="39"/>
  <c r="G30" i="39"/>
  <c r="F30" i="39"/>
  <c r="H30" i="39" s="1"/>
  <c r="U29" i="39"/>
  <c r="T29" i="39"/>
  <c r="T37" i="39" s="1"/>
  <c r="Q29" i="39"/>
  <c r="P29" i="39"/>
  <c r="O29" i="39"/>
  <c r="R29" i="39" s="1"/>
  <c r="J29" i="39"/>
  <c r="E29" i="39"/>
  <c r="E37" i="39" s="1"/>
  <c r="N27" i="39"/>
  <c r="U26" i="39"/>
  <c r="T26" i="39"/>
  <c r="O26" i="39"/>
  <c r="P26" i="39" s="1"/>
  <c r="J26" i="39"/>
  <c r="E26" i="39"/>
  <c r="F26" i="39" s="1"/>
  <c r="G26" i="39" s="1"/>
  <c r="T25" i="39"/>
  <c r="O25" i="39"/>
  <c r="K25" i="39"/>
  <c r="L25" i="39" s="1"/>
  <c r="J25" i="39"/>
  <c r="E25" i="39"/>
  <c r="S24" i="39"/>
  <c r="T24" i="39" s="1"/>
  <c r="N24" i="39"/>
  <c r="I24" i="39"/>
  <c r="J24" i="39" s="1"/>
  <c r="D24" i="39"/>
  <c r="E24" i="39" s="1"/>
  <c r="S21" i="39"/>
  <c r="T21" i="39" s="1"/>
  <c r="U21" i="39" s="1"/>
  <c r="N21" i="39"/>
  <c r="O21" i="39" s="1"/>
  <c r="J21" i="39"/>
  <c r="K21" i="39" s="1"/>
  <c r="L21" i="39" s="1"/>
  <c r="I21" i="39"/>
  <c r="M21" i="39" s="1"/>
  <c r="G21" i="39"/>
  <c r="H21" i="39" s="1"/>
  <c r="F21" i="39"/>
  <c r="E21" i="39"/>
  <c r="T20" i="39"/>
  <c r="O20" i="39"/>
  <c r="P20" i="39" s="1"/>
  <c r="K20" i="39"/>
  <c r="J20" i="39"/>
  <c r="F20" i="39"/>
  <c r="U19" i="39"/>
  <c r="T19" i="39"/>
  <c r="O19" i="39"/>
  <c r="J19" i="39"/>
  <c r="E19" i="39"/>
  <c r="F19" i="39" s="1"/>
  <c r="G19" i="39" s="1"/>
  <c r="T18" i="39"/>
  <c r="U18" i="39" s="1"/>
  <c r="O18" i="39"/>
  <c r="J18" i="39"/>
  <c r="F18" i="39"/>
  <c r="G18" i="39" s="1"/>
  <c r="E18" i="39"/>
  <c r="H18" i="39" s="1"/>
  <c r="S17" i="39"/>
  <c r="P17" i="39"/>
  <c r="Q17" i="39" s="1"/>
  <c r="O17" i="39"/>
  <c r="J17" i="39"/>
  <c r="K17" i="39" s="1"/>
  <c r="E17" i="39"/>
  <c r="T16" i="39"/>
  <c r="U16" i="39" s="1"/>
  <c r="O16" i="39"/>
  <c r="J16" i="39"/>
  <c r="E16" i="39"/>
  <c r="T15" i="39"/>
  <c r="P15" i="39"/>
  <c r="Q15" i="39" s="1"/>
  <c r="O15" i="39"/>
  <c r="J15" i="39"/>
  <c r="E15" i="39"/>
  <c r="AV13" i="39"/>
  <c r="AQ13" i="39"/>
  <c r="AL13" i="39"/>
  <c r="AG13" i="39"/>
  <c r="AB13" i="39"/>
  <c r="U13" i="39"/>
  <c r="T13" i="39"/>
  <c r="O13" i="39"/>
  <c r="P13" i="39" s="1"/>
  <c r="Q13" i="39" s="1"/>
  <c r="N13" i="39"/>
  <c r="R13" i="39" s="1"/>
  <c r="J13" i="39"/>
  <c r="K13" i="39" s="1"/>
  <c r="L13" i="39" s="1"/>
  <c r="I13" i="39"/>
  <c r="M13" i="39" s="1"/>
  <c r="F13" i="39"/>
  <c r="G13" i="39" s="1"/>
  <c r="E13" i="39"/>
  <c r="H13" i="39" s="1"/>
  <c r="T12" i="39"/>
  <c r="O12" i="39"/>
  <c r="J12" i="39"/>
  <c r="K12" i="39" s="1"/>
  <c r="E12" i="39"/>
  <c r="F12" i="39" s="1"/>
  <c r="AV11" i="39"/>
  <c r="AQ11" i="39"/>
  <c r="T11" i="39"/>
  <c r="J11" i="39"/>
  <c r="F11" i="39"/>
  <c r="E11" i="39"/>
  <c r="U10" i="39"/>
  <c r="T10" i="39"/>
  <c r="O10" i="39"/>
  <c r="P10" i="39" s="1"/>
  <c r="J10" i="39"/>
  <c r="E10" i="39"/>
  <c r="F10" i="39" s="1"/>
  <c r="G10" i="39" s="1"/>
  <c r="T9" i="39"/>
  <c r="O9" i="39"/>
  <c r="J9" i="39"/>
  <c r="E9" i="39"/>
  <c r="F9" i="39" s="1"/>
  <c r="G9" i="39" s="1"/>
  <c r="T8" i="39"/>
  <c r="O8" i="39"/>
  <c r="J8" i="39"/>
  <c r="E8" i="39"/>
  <c r="U7" i="39"/>
  <c r="T7" i="39"/>
  <c r="O7" i="39"/>
  <c r="J7" i="39"/>
  <c r="E7" i="39"/>
  <c r="S22" i="39"/>
  <c r="N22" i="39"/>
  <c r="I22" i="39"/>
  <c r="D22" i="39"/>
  <c r="U63" i="38"/>
  <c r="T63" i="38"/>
  <c r="Q63" i="38"/>
  <c r="P63" i="38"/>
  <c r="O63" i="38"/>
  <c r="G63" i="38"/>
  <c r="F63" i="38"/>
  <c r="D63" i="38"/>
  <c r="G62" i="38"/>
  <c r="F62" i="38"/>
  <c r="AU60" i="38"/>
  <c r="AR60" i="38" s="1"/>
  <c r="AT60" i="38"/>
  <c r="AS60" i="38"/>
  <c r="AP60" i="38"/>
  <c r="AO60" i="38"/>
  <c r="AN60" i="38"/>
  <c r="AM60" i="38"/>
  <c r="AK60" i="38"/>
  <c r="AJ60" i="38"/>
  <c r="AI60" i="38"/>
  <c r="AH60" i="38"/>
  <c r="AF60" i="38"/>
  <c r="AE60" i="38"/>
  <c r="AD60" i="38"/>
  <c r="AC60" i="38"/>
  <c r="AA60" i="38"/>
  <c r="Y60" i="38"/>
  <c r="X60" i="38"/>
  <c r="V60" i="38"/>
  <c r="AD59" i="38"/>
  <c r="Z60" i="38" s="1"/>
  <c r="U56" i="38"/>
  <c r="T56" i="38"/>
  <c r="S56" i="38"/>
  <c r="N56" i="38"/>
  <c r="J56" i="38"/>
  <c r="I56" i="38"/>
  <c r="X55" i="38"/>
  <c r="U55" i="38"/>
  <c r="T55" i="38"/>
  <c r="S55" i="38"/>
  <c r="Q55" i="38"/>
  <c r="V55" i="38" s="1"/>
  <c r="P55" i="38"/>
  <c r="O55" i="38"/>
  <c r="N55" i="38"/>
  <c r="L55" i="38"/>
  <c r="K55" i="38"/>
  <c r="J55" i="38"/>
  <c r="I55" i="38"/>
  <c r="G55" i="38"/>
  <c r="F55" i="38"/>
  <c r="E55" i="38"/>
  <c r="D55" i="38"/>
  <c r="U54" i="38"/>
  <c r="T54" i="38"/>
  <c r="S54" i="38"/>
  <c r="X54" i="38" s="1"/>
  <c r="Q54" i="38"/>
  <c r="V54" i="38" s="1"/>
  <c r="P54" i="38"/>
  <c r="O54" i="38"/>
  <c r="N54" i="38"/>
  <c r="L54" i="38"/>
  <c r="K54" i="38"/>
  <c r="J54" i="38"/>
  <c r="I54" i="38"/>
  <c r="G54" i="38"/>
  <c r="F54" i="38"/>
  <c r="E54" i="38"/>
  <c r="D54" i="38"/>
  <c r="X52" i="38"/>
  <c r="V52" i="38"/>
  <c r="I52" i="38"/>
  <c r="G52" i="38"/>
  <c r="E52" i="38"/>
  <c r="D52" i="38"/>
  <c r="AH50" i="38"/>
  <c r="N50" i="38"/>
  <c r="L50" i="38"/>
  <c r="E48" i="38"/>
  <c r="V48" i="38"/>
  <c r="K48" i="38"/>
  <c r="J48" i="38"/>
  <c r="I48" i="38"/>
  <c r="G48" i="38"/>
  <c r="F48" i="38"/>
  <c r="D48" i="38"/>
  <c r="AU46" i="38"/>
  <c r="AT46" i="38"/>
  <c r="AS46" i="38"/>
  <c r="AR46" i="38"/>
  <c r="AP46" i="38"/>
  <c r="AO46" i="38"/>
  <c r="AN46" i="38"/>
  <c r="AM46" i="38"/>
  <c r="AK46" i="38"/>
  <c r="AJ46" i="38"/>
  <c r="AI46" i="38"/>
  <c r="AH46" i="38"/>
  <c r="AF46" i="38"/>
  <c r="AE46" i="38"/>
  <c r="AD46" i="38"/>
  <c r="AC46" i="38"/>
  <c r="AA46" i="38"/>
  <c r="Z46" i="38"/>
  <c r="Z50" i="38" s="1"/>
  <c r="Y46" i="38"/>
  <c r="X46" i="38"/>
  <c r="V46" i="38"/>
  <c r="U46" i="38"/>
  <c r="T46" i="38"/>
  <c r="S46" i="38"/>
  <c r="S52" i="38" s="1"/>
  <c r="Q46" i="38"/>
  <c r="Q52" i="38" s="1"/>
  <c r="P46" i="38"/>
  <c r="P52" i="38" s="1"/>
  <c r="O46" i="38"/>
  <c r="O52" i="38" s="1"/>
  <c r="N46" i="38"/>
  <c r="L46" i="38"/>
  <c r="K46" i="38"/>
  <c r="J46" i="38"/>
  <c r="J50" i="38" s="1"/>
  <c r="I46" i="38"/>
  <c r="I50" i="38" s="1"/>
  <c r="G46" i="38"/>
  <c r="G50" i="38" s="1"/>
  <c r="F46" i="38"/>
  <c r="F50" i="38" s="1"/>
  <c r="E46" i="38"/>
  <c r="E50" i="38" s="1"/>
  <c r="D46" i="38"/>
  <c r="D50" i="38" s="1"/>
  <c r="U41" i="38"/>
  <c r="T41" i="38"/>
  <c r="S41" i="38"/>
  <c r="R41" i="38"/>
  <c r="G41" i="38"/>
  <c r="G42" i="38" s="1"/>
  <c r="F41" i="38"/>
  <c r="E41" i="38"/>
  <c r="D41" i="38"/>
  <c r="D42" i="38" s="1"/>
  <c r="X40" i="38"/>
  <c r="Y40" i="38" s="1"/>
  <c r="Z40" i="38" s="1"/>
  <c r="AA40" i="38" s="1"/>
  <c r="W40" i="38"/>
  <c r="V40" i="38"/>
  <c r="R40" i="38"/>
  <c r="M40" i="38"/>
  <c r="H40" i="38"/>
  <c r="AD39" i="38"/>
  <c r="AE39" i="38" s="1"/>
  <c r="AF39" i="38" s="1"/>
  <c r="AC39" i="38"/>
  <c r="V39" i="38"/>
  <c r="X39" i="38" s="1"/>
  <c r="Y39" i="38" s="1"/>
  <c r="Z39" i="38" s="1"/>
  <c r="AA39" i="38" s="1"/>
  <c r="AB39" i="38" s="1"/>
  <c r="R39" i="38"/>
  <c r="M39" i="38"/>
  <c r="H39" i="38"/>
  <c r="R38" i="38"/>
  <c r="M38" i="38"/>
  <c r="H38" i="38"/>
  <c r="U37" i="38"/>
  <c r="T37" i="38"/>
  <c r="S37" i="38"/>
  <c r="R37" i="38"/>
  <c r="Q37" i="38"/>
  <c r="Q41" i="38" s="1"/>
  <c r="P37" i="38"/>
  <c r="P41" i="38" s="1"/>
  <c r="O37" i="38"/>
  <c r="O41" i="38" s="1"/>
  <c r="N37" i="38"/>
  <c r="N41" i="38" s="1"/>
  <c r="M37" i="38"/>
  <c r="M41" i="38" s="1"/>
  <c r="L37" i="38"/>
  <c r="L41" i="38" s="1"/>
  <c r="K37" i="38"/>
  <c r="K41" i="38" s="1"/>
  <c r="K42" i="38" s="1"/>
  <c r="J37" i="38"/>
  <c r="J41" i="38" s="1"/>
  <c r="I37" i="38"/>
  <c r="I41" i="38" s="1"/>
  <c r="G37" i="38"/>
  <c r="H37" i="38" s="1"/>
  <c r="H41" i="38" s="1"/>
  <c r="F37" i="38"/>
  <c r="E37" i="38"/>
  <c r="D37" i="38"/>
  <c r="O35" i="38"/>
  <c r="G35" i="38"/>
  <c r="F35" i="38"/>
  <c r="F42" i="38" s="1"/>
  <c r="X34" i="38"/>
  <c r="Y34" i="38" s="1"/>
  <c r="Z34" i="38" s="1"/>
  <c r="AA34" i="38" s="1"/>
  <c r="W34" i="38"/>
  <c r="V34" i="38"/>
  <c r="R34" i="38"/>
  <c r="M34" i="38"/>
  <c r="H34" i="38"/>
  <c r="V33" i="38"/>
  <c r="X33" i="38" s="1"/>
  <c r="Y33" i="38" s="1"/>
  <c r="Z33" i="38" s="1"/>
  <c r="AA33" i="38" s="1"/>
  <c r="R33" i="38"/>
  <c r="M33" i="38"/>
  <c r="H33" i="38"/>
  <c r="X32" i="38"/>
  <c r="Y32" i="38" s="1"/>
  <c r="Z32" i="38" s="1"/>
  <c r="AA32" i="38" s="1"/>
  <c r="W32" i="38"/>
  <c r="V32" i="38"/>
  <c r="R32" i="38"/>
  <c r="M32" i="38"/>
  <c r="H32" i="38"/>
  <c r="V31" i="38"/>
  <c r="X31" i="38" s="1"/>
  <c r="Y31" i="38" s="1"/>
  <c r="R31" i="38"/>
  <c r="M31" i="38"/>
  <c r="H31" i="38"/>
  <c r="T30" i="38"/>
  <c r="T35" i="38" s="1"/>
  <c r="S30" i="38"/>
  <c r="S35" i="38" s="1"/>
  <c r="Q30" i="38"/>
  <c r="Q35" i="38" s="1"/>
  <c r="P30" i="38"/>
  <c r="P35" i="38" s="1"/>
  <c r="O30" i="38"/>
  <c r="L30" i="38"/>
  <c r="L35" i="38" s="1"/>
  <c r="K30" i="38"/>
  <c r="K35" i="38" s="1"/>
  <c r="G30" i="38"/>
  <c r="F30" i="38"/>
  <c r="D30" i="38"/>
  <c r="D35" i="38" s="1"/>
  <c r="AV29" i="38"/>
  <c r="AQ29" i="38"/>
  <c r="AL29" i="38"/>
  <c r="AG29" i="38"/>
  <c r="AB29" i="38"/>
  <c r="W29" i="38"/>
  <c r="R29" i="38"/>
  <c r="M29" i="38"/>
  <c r="H29" i="38"/>
  <c r="V28" i="38"/>
  <c r="V63" i="38" s="1"/>
  <c r="U28" i="38"/>
  <c r="U47" i="39" s="1"/>
  <c r="S28" i="38"/>
  <c r="S47" i="39" s="1"/>
  <c r="R28" i="38"/>
  <c r="R47" i="39" s="1"/>
  <c r="N28" i="38"/>
  <c r="M28" i="38"/>
  <c r="L28" i="38"/>
  <c r="L47" i="39" s="1"/>
  <c r="K28" i="38"/>
  <c r="K47" i="39" s="1"/>
  <c r="J28" i="38"/>
  <c r="J47" i="39" s="1"/>
  <c r="I28" i="38"/>
  <c r="I47" i="39" s="1"/>
  <c r="H28" i="38"/>
  <c r="H47" i="39" s="1"/>
  <c r="E28" i="38"/>
  <c r="E47" i="39" s="1"/>
  <c r="X27" i="38"/>
  <c r="X19" i="39" s="1"/>
  <c r="W27" i="38"/>
  <c r="V19" i="39"/>
  <c r="R27" i="38"/>
  <c r="M27" i="38"/>
  <c r="H27" i="38"/>
  <c r="Z26" i="38"/>
  <c r="AA26" i="38" s="1"/>
  <c r="W26" i="38"/>
  <c r="V26" i="38"/>
  <c r="X26" i="38" s="1"/>
  <c r="Y26" i="38" s="1"/>
  <c r="R26" i="38"/>
  <c r="M26" i="38"/>
  <c r="H26" i="38"/>
  <c r="U25" i="38"/>
  <c r="T25" i="38"/>
  <c r="R25" i="38"/>
  <c r="M25" i="38"/>
  <c r="H25" i="38"/>
  <c r="X24" i="38"/>
  <c r="Y24" i="38" s="1"/>
  <c r="Z24" i="38" s="1"/>
  <c r="AA24" i="38" s="1"/>
  <c r="AC24" i="38" s="1"/>
  <c r="AD24" i="38" s="1"/>
  <c r="AE24" i="38" s="1"/>
  <c r="AF24" i="38" s="1"/>
  <c r="W24" i="38"/>
  <c r="V24" i="38"/>
  <c r="R24" i="38"/>
  <c r="M24" i="38"/>
  <c r="H24" i="38"/>
  <c r="V23" i="38"/>
  <c r="R23" i="38"/>
  <c r="M23" i="38"/>
  <c r="H23" i="38"/>
  <c r="R22" i="38"/>
  <c r="M22" i="38"/>
  <c r="H22" i="38"/>
  <c r="V19" i="38"/>
  <c r="X19" i="38" s="1"/>
  <c r="Y19" i="38" s="1"/>
  <c r="Z19" i="38" s="1"/>
  <c r="AA19" i="38" s="1"/>
  <c r="R19" i="38"/>
  <c r="M19" i="38"/>
  <c r="H19" i="38"/>
  <c r="Z18" i="38"/>
  <c r="AA18" i="38" s="1"/>
  <c r="Y18" i="38"/>
  <c r="X18" i="38"/>
  <c r="W18" i="38"/>
  <c r="V18" i="38"/>
  <c r="R18" i="38"/>
  <c r="M18" i="38"/>
  <c r="H18" i="38"/>
  <c r="R17" i="38"/>
  <c r="M17" i="38"/>
  <c r="H17" i="38"/>
  <c r="R16" i="38"/>
  <c r="M16" i="38"/>
  <c r="H16" i="38"/>
  <c r="H55" i="38" s="1"/>
  <c r="W15" i="38"/>
  <c r="V15" i="38"/>
  <c r="X15" i="38" s="1"/>
  <c r="Y15" i="38" s="1"/>
  <c r="Z15" i="38" s="1"/>
  <c r="AA15" i="38" s="1"/>
  <c r="R15" i="38"/>
  <c r="M15" i="38"/>
  <c r="H15" i="38"/>
  <c r="R14" i="38"/>
  <c r="M14" i="38"/>
  <c r="H14" i="38"/>
  <c r="W13" i="38"/>
  <c r="V13" i="38"/>
  <c r="R13" i="38"/>
  <c r="M13" i="38"/>
  <c r="H13" i="38"/>
  <c r="R12" i="38"/>
  <c r="M12" i="38"/>
  <c r="H12" i="38"/>
  <c r="X10" i="38"/>
  <c r="X17" i="39" s="1"/>
  <c r="W10" i="38"/>
  <c r="V10" i="38"/>
  <c r="V17" i="39" s="1"/>
  <c r="R10" i="38"/>
  <c r="M10" i="38"/>
  <c r="H10" i="38"/>
  <c r="R9" i="38"/>
  <c r="M9" i="38"/>
  <c r="H9" i="38"/>
  <c r="R8" i="38"/>
  <c r="M8" i="38"/>
  <c r="H8" i="38"/>
  <c r="R7" i="38"/>
  <c r="M7" i="38"/>
  <c r="H7" i="38"/>
  <c r="H54" i="38" s="1"/>
  <c r="AK31" i="43" l="1"/>
  <c r="AJ29" i="45"/>
  <c r="AJ47" i="45"/>
  <c r="AK22" i="41"/>
  <c r="AB37" i="44"/>
  <c r="X99" i="42"/>
  <c r="Y99" i="41"/>
  <c r="X127" i="42"/>
  <c r="Y127" i="41"/>
  <c r="X130" i="41"/>
  <c r="AA35" i="43"/>
  <c r="AA35" i="44" s="1"/>
  <c r="AA30" i="44"/>
  <c r="X66" i="42"/>
  <c r="X12" i="41"/>
  <c r="AB35" i="43"/>
  <c r="AB35" i="44" s="1"/>
  <c r="AB30" i="44"/>
  <c r="Y7" i="45"/>
  <c r="X14" i="44"/>
  <c r="AH56" i="44"/>
  <c r="AI56" i="43"/>
  <c r="AJ22" i="42"/>
  <c r="AL22" i="41"/>
  <c r="AO35" i="41"/>
  <c r="AN35" i="42"/>
  <c r="AH153" i="42"/>
  <c r="AI153" i="41"/>
  <c r="AH155" i="41"/>
  <c r="AH155" i="42" s="1"/>
  <c r="AF155" i="41"/>
  <c r="AF155" i="42" s="1"/>
  <c r="AF153" i="42"/>
  <c r="AE155" i="42"/>
  <c r="AE31" i="41"/>
  <c r="AE30" i="41"/>
  <c r="AR56" i="45"/>
  <c r="W37" i="46"/>
  <c r="AF58" i="45"/>
  <c r="AE58" i="46"/>
  <c r="AA53" i="46"/>
  <c r="AO144" i="42"/>
  <c r="Y134" i="41"/>
  <c r="Y134" i="42" s="1"/>
  <c r="AC53" i="45"/>
  <c r="R41" i="45"/>
  <c r="N41" i="45"/>
  <c r="O40" i="45" s="1"/>
  <c r="O41" i="45" s="1"/>
  <c r="P40" i="45" s="1"/>
  <c r="P41" i="45" s="1"/>
  <c r="Q40" i="45" s="1"/>
  <c r="Q41" i="45" s="1"/>
  <c r="AD25" i="43"/>
  <c r="AI23" i="43"/>
  <c r="AO54" i="43"/>
  <c r="AC63" i="43"/>
  <c r="AD28" i="43"/>
  <c r="AH16" i="43"/>
  <c r="AI55" i="43"/>
  <c r="AF53" i="43"/>
  <c r="AP180" i="41"/>
  <c r="AU94" i="41"/>
  <c r="AP182" i="41"/>
  <c r="AU98" i="41"/>
  <c r="AH172" i="41"/>
  <c r="AH28" i="41" s="1"/>
  <c r="AH18" i="41"/>
  <c r="AE77" i="41"/>
  <c r="AS182" i="41"/>
  <c r="AI129" i="41"/>
  <c r="AJ163" i="41"/>
  <c r="AI168" i="41"/>
  <c r="AI170" i="41" s="1"/>
  <c r="AI117" i="41"/>
  <c r="AI118" i="41" s="1"/>
  <c r="AI120" i="41" s="1"/>
  <c r="AI121" i="41" s="1"/>
  <c r="AI102" i="41"/>
  <c r="AC50" i="41"/>
  <c r="AB50" i="41"/>
  <c r="AA52" i="41"/>
  <c r="AA54" i="41" s="1"/>
  <c r="AA54" i="42" s="1"/>
  <c r="AR182" i="41"/>
  <c r="AR77" i="41"/>
  <c r="AV7" i="41"/>
  <c r="AN44" i="41"/>
  <c r="AN44" i="42" s="1"/>
  <c r="AO44" i="41"/>
  <c r="AO44" i="42" s="1"/>
  <c r="AP143" i="41"/>
  <c r="AV115" i="41"/>
  <c r="AV116" i="41" s="1"/>
  <c r="AQ111" i="41"/>
  <c r="AR183" i="41"/>
  <c r="AJ119" i="41"/>
  <c r="AI16" i="41"/>
  <c r="AI136" i="41" s="1"/>
  <c r="AP144" i="41"/>
  <c r="V64" i="41"/>
  <c r="W59" i="41"/>
  <c r="V67" i="41"/>
  <c r="V60" i="41"/>
  <c r="AP183" i="41"/>
  <c r="AU101" i="41"/>
  <c r="AU185" i="41"/>
  <c r="AU110" i="41"/>
  <c r="AH136" i="41"/>
  <c r="W62" i="41"/>
  <c r="W63" i="41" s="1"/>
  <c r="AV112" i="41"/>
  <c r="AV113" i="41" s="1"/>
  <c r="AH118" i="41"/>
  <c r="AH120" i="41" s="1"/>
  <c r="AH121" i="41" s="1"/>
  <c r="AU77" i="41"/>
  <c r="AA83" i="41"/>
  <c r="Z85" i="41"/>
  <c r="Z87" i="41" s="1"/>
  <c r="AU61" i="41"/>
  <c r="AU61" i="42" s="1"/>
  <c r="X46" i="41"/>
  <c r="X46" i="42" s="1"/>
  <c r="X62" i="41"/>
  <c r="X62" i="42" s="1"/>
  <c r="X59" i="41"/>
  <c r="X59" i="42" s="1"/>
  <c r="AR143" i="41"/>
  <c r="X76" i="41"/>
  <c r="X78" i="41" s="1"/>
  <c r="X74" i="41"/>
  <c r="W74" i="41"/>
  <c r="AB139" i="41" s="1"/>
  <c r="V90" i="41"/>
  <c r="AB90" i="41" s="1"/>
  <c r="AR180" i="41"/>
  <c r="AI77" i="41"/>
  <c r="V76" i="41"/>
  <c r="V78" i="41" s="1"/>
  <c r="AE14" i="41"/>
  <c r="AF69" i="41"/>
  <c r="Y41" i="41"/>
  <c r="Y43" i="41"/>
  <c r="Y45" i="41" s="1"/>
  <c r="Y45" i="42" s="1"/>
  <c r="X57" i="41"/>
  <c r="AV124" i="41"/>
  <c r="AL34" i="39"/>
  <c r="AL34" i="46" s="1"/>
  <c r="AK57" i="39"/>
  <c r="AT50" i="38"/>
  <c r="N55" i="39"/>
  <c r="N148" i="36" s="1"/>
  <c r="I55" i="39"/>
  <c r="I148" i="36" s="1"/>
  <c r="S55" i="39"/>
  <c r="S148" i="36" s="1"/>
  <c r="X22" i="36"/>
  <c r="AC50" i="38"/>
  <c r="AG11" i="39"/>
  <c r="K50" i="38"/>
  <c r="AL11" i="39"/>
  <c r="T52" i="38"/>
  <c r="J22" i="39"/>
  <c r="U52" i="38"/>
  <c r="Z52" i="38"/>
  <c r="N37" i="39"/>
  <c r="X50" i="38"/>
  <c r="AA50" i="38"/>
  <c r="AE50" i="38"/>
  <c r="X48" i="38"/>
  <c r="AR50" i="38"/>
  <c r="AF50" i="38"/>
  <c r="AV34" i="39"/>
  <c r="AB34" i="39"/>
  <c r="AG34" i="39"/>
  <c r="V50" i="38"/>
  <c r="AB11" i="39"/>
  <c r="V8" i="39"/>
  <c r="W16" i="38"/>
  <c r="AC19" i="38"/>
  <c r="AD19" i="38" s="1"/>
  <c r="AE19" i="38" s="1"/>
  <c r="AF19" i="38" s="1"/>
  <c r="AB19" i="38"/>
  <c r="AC18" i="38"/>
  <c r="AD18" i="38" s="1"/>
  <c r="AE18" i="38" s="1"/>
  <c r="AF18" i="38" s="1"/>
  <c r="AB18" i="38"/>
  <c r="AC15" i="38"/>
  <c r="AD15" i="38" s="1"/>
  <c r="AE15" i="38" s="1"/>
  <c r="AF15" i="38" s="1"/>
  <c r="AB15" i="38"/>
  <c r="AC48" i="38"/>
  <c r="S42" i="38"/>
  <c r="Y55" i="38"/>
  <c r="T42" i="38"/>
  <c r="AC32" i="38"/>
  <c r="AD32" i="38" s="1"/>
  <c r="AE32" i="38" s="1"/>
  <c r="AF32" i="38" s="1"/>
  <c r="AB32" i="38"/>
  <c r="AC34" i="38"/>
  <c r="AD34" i="38" s="1"/>
  <c r="AE34" i="38" s="1"/>
  <c r="AF34" i="38" s="1"/>
  <c r="AB34" i="38"/>
  <c r="Y50" i="38"/>
  <c r="AS50" i="38"/>
  <c r="Y48" i="38"/>
  <c r="F24" i="39"/>
  <c r="E27" i="39"/>
  <c r="U30" i="38"/>
  <c r="U35" i="38" s="1"/>
  <c r="U42" i="38" s="1"/>
  <c r="V25" i="38"/>
  <c r="AH24" i="38"/>
  <c r="AI24" i="38" s="1"/>
  <c r="AJ24" i="38" s="1"/>
  <c r="AK24" i="38" s="1"/>
  <c r="AG24" i="38"/>
  <c r="L42" i="38"/>
  <c r="Z48" i="38"/>
  <c r="AH52" i="38"/>
  <c r="Y10" i="38"/>
  <c r="AB24" i="38"/>
  <c r="M47" i="39"/>
  <c r="M42" i="38"/>
  <c r="H17" i="39"/>
  <c r="N47" i="39"/>
  <c r="N63" i="38"/>
  <c r="N62" i="38"/>
  <c r="N30" i="38"/>
  <c r="N35" i="38" s="1"/>
  <c r="N42" i="38"/>
  <c r="AH39" i="38"/>
  <c r="AI39" i="38" s="1"/>
  <c r="AJ39" i="38" s="1"/>
  <c r="AK39" i="38" s="1"/>
  <c r="AG39" i="38"/>
  <c r="X16" i="38"/>
  <c r="X8" i="39" s="1"/>
  <c r="O42" i="38"/>
  <c r="O62" i="38"/>
  <c r="AC40" i="38"/>
  <c r="AD40" i="38" s="1"/>
  <c r="AE40" i="38" s="1"/>
  <c r="AF40" i="38" s="1"/>
  <c r="AB40" i="38"/>
  <c r="AD50" i="38"/>
  <c r="H30" i="38"/>
  <c r="H35" i="38" s="1"/>
  <c r="H42" i="38" s="1"/>
  <c r="V21" i="39"/>
  <c r="X23" i="38"/>
  <c r="W23" i="38"/>
  <c r="P42" i="38"/>
  <c r="P62" i="38"/>
  <c r="M30" i="38"/>
  <c r="M35" i="38" s="1"/>
  <c r="Y27" i="38"/>
  <c r="Z31" i="38"/>
  <c r="AA31" i="38" s="1"/>
  <c r="Q42" i="38"/>
  <c r="Q62" i="38"/>
  <c r="L52" i="38"/>
  <c r="L48" i="38"/>
  <c r="Q20" i="39"/>
  <c r="R20" i="39"/>
  <c r="Q30" i="39"/>
  <c r="R30" i="38"/>
  <c r="R35" i="38" s="1"/>
  <c r="R42" i="38" s="1"/>
  <c r="N52" i="38"/>
  <c r="N48" i="38"/>
  <c r="M32" i="39"/>
  <c r="AC33" i="38"/>
  <c r="AD33" i="38" s="1"/>
  <c r="AE33" i="38" s="1"/>
  <c r="AF33" i="38" s="1"/>
  <c r="AB33" i="38"/>
  <c r="AC26" i="38"/>
  <c r="AD26" i="38" s="1"/>
  <c r="AE26" i="38" s="1"/>
  <c r="AF26" i="38" s="1"/>
  <c r="AB26" i="38"/>
  <c r="Z55" i="38"/>
  <c r="X13" i="38"/>
  <c r="Y52" i="38"/>
  <c r="AD52" i="38"/>
  <c r="Y54" i="38"/>
  <c r="R15" i="39"/>
  <c r="E56" i="38"/>
  <c r="F7" i="39"/>
  <c r="O50" i="38"/>
  <c r="AI50" i="38"/>
  <c r="I62" i="38"/>
  <c r="K24" i="39"/>
  <c r="J27" i="39"/>
  <c r="R35" i="39"/>
  <c r="P35" i="39"/>
  <c r="Q35" i="39" s="1"/>
  <c r="S39" i="39"/>
  <c r="P50" i="38"/>
  <c r="AJ50" i="38"/>
  <c r="F52" i="38"/>
  <c r="J62" i="38"/>
  <c r="H9" i="39"/>
  <c r="Q10" i="39"/>
  <c r="R10" i="39" s="1"/>
  <c r="L17" i="39"/>
  <c r="M17" i="39" s="1"/>
  <c r="Q50" i="38"/>
  <c r="AK50" i="38"/>
  <c r="K62" i="38"/>
  <c r="E63" i="38"/>
  <c r="K9" i="39"/>
  <c r="L9" i="39" s="1"/>
  <c r="R17" i="39"/>
  <c r="H19" i="39"/>
  <c r="H34" i="39"/>
  <c r="V47" i="39"/>
  <c r="V29" i="39"/>
  <c r="S50" i="38"/>
  <c r="L62" i="38"/>
  <c r="E22" i="39"/>
  <c r="U24" i="39"/>
  <c r="T27" i="39"/>
  <c r="W28" i="38"/>
  <c r="W33" i="38"/>
  <c r="T50" i="38"/>
  <c r="AN50" i="38"/>
  <c r="J52" i="38"/>
  <c r="K7" i="39"/>
  <c r="G12" i="39"/>
  <c r="W17" i="39"/>
  <c r="X28" i="38"/>
  <c r="U50" i="38"/>
  <c r="AO50" i="38"/>
  <c r="K52" i="38"/>
  <c r="I63" i="38"/>
  <c r="L12" i="39"/>
  <c r="W13" i="39"/>
  <c r="J63" i="38"/>
  <c r="F16" i="39"/>
  <c r="G16" i="39" s="1"/>
  <c r="I37" i="39"/>
  <c r="J31" i="39"/>
  <c r="K31" i="39" s="1"/>
  <c r="L31" i="39" s="1"/>
  <c r="P34" i="39"/>
  <c r="Q34" i="39" s="1"/>
  <c r="K63" i="38"/>
  <c r="P12" i="39"/>
  <c r="W19" i="39"/>
  <c r="H26" i="39"/>
  <c r="U37" i="39"/>
  <c r="E30" i="38"/>
  <c r="E35" i="38" s="1"/>
  <c r="E42" i="38" s="1"/>
  <c r="W31" i="38"/>
  <c r="W39" i="38"/>
  <c r="O48" i="38"/>
  <c r="S62" i="38"/>
  <c r="L63" i="38"/>
  <c r="P7" i="39"/>
  <c r="R21" i="39"/>
  <c r="P21" i="39"/>
  <c r="Q21" i="39" s="1"/>
  <c r="M25" i="39"/>
  <c r="M26" i="39"/>
  <c r="W31" i="39"/>
  <c r="M33" i="39"/>
  <c r="W36" i="39"/>
  <c r="P48" i="38"/>
  <c r="T62" i="38"/>
  <c r="H11" i="39"/>
  <c r="R26" i="39"/>
  <c r="Q26" i="39"/>
  <c r="Q48" i="38"/>
  <c r="U62" i="38"/>
  <c r="L6" i="39"/>
  <c r="G11" i="39"/>
  <c r="W21" i="39"/>
  <c r="U25" i="39"/>
  <c r="R33" i="39"/>
  <c r="W19" i="38"/>
  <c r="S48" i="38"/>
  <c r="O56" i="38"/>
  <c r="U8" i="39"/>
  <c r="K11" i="39"/>
  <c r="L11" i="39" s="1"/>
  <c r="I30" i="38"/>
  <c r="I35" i="38" s="1"/>
  <c r="I42" i="38" s="1"/>
  <c r="T48" i="38"/>
  <c r="D62" i="38"/>
  <c r="J30" i="38"/>
  <c r="J35" i="38" s="1"/>
  <c r="J42" i="38" s="1"/>
  <c r="U48" i="38"/>
  <c r="E62" i="38"/>
  <c r="S63" i="38"/>
  <c r="H10" i="39"/>
  <c r="W11" i="39"/>
  <c r="M15" i="39"/>
  <c r="N39" i="39"/>
  <c r="K19" i="39"/>
  <c r="L19" i="39" s="1"/>
  <c r="U20" i="39"/>
  <c r="O24" i="39"/>
  <c r="K26" i="39"/>
  <c r="L26" i="39" s="1"/>
  <c r="F32" i="39"/>
  <c r="G32" i="39" s="1"/>
  <c r="U33" i="39"/>
  <c r="F36" i="39"/>
  <c r="G36" i="39" s="1"/>
  <c r="F29" i="39"/>
  <c r="F8" i="39"/>
  <c r="G8" i="39" s="1"/>
  <c r="U15" i="39"/>
  <c r="F25" i="39"/>
  <c r="S27" i="39"/>
  <c r="U35" i="39"/>
  <c r="P9" i="39"/>
  <c r="Q9" i="39" s="1"/>
  <c r="U12" i="39"/>
  <c r="K16" i="39"/>
  <c r="L16" i="39" s="1"/>
  <c r="P19" i="39"/>
  <c r="Q19" i="39" s="1"/>
  <c r="D27" i="39"/>
  <c r="D39" i="39" s="1"/>
  <c r="D41" i="39" s="1"/>
  <c r="R30" i="39"/>
  <c r="P31" i="39"/>
  <c r="Q31" i="39" s="1"/>
  <c r="K32" i="39"/>
  <c r="L32" i="39" s="1"/>
  <c r="F33" i="39"/>
  <c r="G33" i="39" s="1"/>
  <c r="K36" i="39"/>
  <c r="L36" i="39" s="1"/>
  <c r="T17" i="39"/>
  <c r="U17" i="39" s="1"/>
  <c r="G20" i="39"/>
  <c r="H20" i="39" s="1"/>
  <c r="O11" i="39"/>
  <c r="P11" i="39" s="1"/>
  <c r="Q11" i="39" s="1"/>
  <c r="K29" i="39"/>
  <c r="K38" i="39"/>
  <c r="L38" i="39" s="1"/>
  <c r="K8" i="39"/>
  <c r="L8" i="39" s="1"/>
  <c r="F15" i="39"/>
  <c r="G15" i="39" s="1"/>
  <c r="K18" i="39"/>
  <c r="L18" i="39" s="1"/>
  <c r="F35" i="39"/>
  <c r="G35" i="39" s="1"/>
  <c r="U9" i="39"/>
  <c r="P16" i="39"/>
  <c r="Q16" i="39" s="1"/>
  <c r="U31" i="39"/>
  <c r="P32" i="39"/>
  <c r="Q32" i="39" s="1"/>
  <c r="K33" i="39"/>
  <c r="L33" i="39" s="1"/>
  <c r="K10" i="39"/>
  <c r="F17" i="39"/>
  <c r="G17" i="39" s="1"/>
  <c r="L20" i="39"/>
  <c r="M20" i="39" s="1"/>
  <c r="I27" i="39"/>
  <c r="Q36" i="39"/>
  <c r="R36" i="39" s="1"/>
  <c r="P38" i="39"/>
  <c r="Q38" i="39" s="1"/>
  <c r="P8" i="39"/>
  <c r="Q8" i="39" s="1"/>
  <c r="U11" i="39"/>
  <c r="K15" i="39"/>
  <c r="L15" i="39" s="1"/>
  <c r="P18" i="39"/>
  <c r="Q18" i="39" s="1"/>
  <c r="P25" i="39"/>
  <c r="K35" i="39"/>
  <c r="L35" i="39" s="1"/>
  <c r="U32" i="39"/>
  <c r="W32" i="39" s="1"/>
  <c r="U36" i="39"/>
  <c r="X131" i="41" l="1"/>
  <c r="X131" i="42" s="1"/>
  <c r="X130" i="42"/>
  <c r="Y127" i="42"/>
  <c r="Y130" i="41"/>
  <c r="AH53" i="43"/>
  <c r="AH53" i="44" s="1"/>
  <c r="AF53" i="44"/>
  <c r="AJ56" i="43"/>
  <c r="AI56" i="44"/>
  <c r="AK56" i="43"/>
  <c r="AM56" i="43"/>
  <c r="Y99" i="42"/>
  <c r="Y7" i="46"/>
  <c r="Y14" i="43"/>
  <c r="X12" i="42"/>
  <c r="Y66" i="41"/>
  <c r="AK29" i="45"/>
  <c r="AK47" i="45"/>
  <c r="AM22" i="41"/>
  <c r="AM31" i="43"/>
  <c r="AL31" i="43"/>
  <c r="AG155" i="41"/>
  <c r="AG155" i="42" s="1"/>
  <c r="AF30" i="41"/>
  <c r="AE30" i="42"/>
  <c r="AJ33" i="45"/>
  <c r="AF31" i="41"/>
  <c r="AE31" i="42"/>
  <c r="AI153" i="42"/>
  <c r="AI155" i="41"/>
  <c r="AI155" i="42" s="1"/>
  <c r="AJ153" i="41"/>
  <c r="AP35" i="41"/>
  <c r="AO35" i="42"/>
  <c r="AQ35" i="41"/>
  <c r="AR56" i="46"/>
  <c r="AS56" i="45"/>
  <c r="AC53" i="46"/>
  <c r="AF58" i="46"/>
  <c r="AH58" i="45"/>
  <c r="AG58" i="45"/>
  <c r="AG58" i="46" s="1"/>
  <c r="AP144" i="42"/>
  <c r="W40" i="45"/>
  <c r="S40" i="45"/>
  <c r="AD53" i="45"/>
  <c r="AJ23" i="43"/>
  <c r="AR54" i="43"/>
  <c r="AI16" i="43"/>
  <c r="AM55" i="43"/>
  <c r="AD63" i="43"/>
  <c r="AE28" i="43"/>
  <c r="AE25" i="43"/>
  <c r="AD30" i="43"/>
  <c r="AP54" i="43"/>
  <c r="AJ55" i="43"/>
  <c r="AK55" i="43"/>
  <c r="Y46" i="41"/>
  <c r="Y46" i="42" s="1"/>
  <c r="Y62" i="41"/>
  <c r="Y62" i="42" s="1"/>
  <c r="Y59" i="41"/>
  <c r="Y59" i="42" s="1"/>
  <c r="W64" i="41"/>
  <c r="W65" i="41" s="1"/>
  <c r="AI172" i="41"/>
  <c r="AI28" i="41" s="1"/>
  <c r="AI18" i="41"/>
  <c r="AU182" i="41"/>
  <c r="X5" i="41"/>
  <c r="X5" i="42" s="1"/>
  <c r="AJ129" i="41"/>
  <c r="AK163" i="41"/>
  <c r="AJ168" i="41"/>
  <c r="AJ170" i="41" s="1"/>
  <c r="AJ117" i="41"/>
  <c r="AJ102" i="41"/>
  <c r="AT44" i="41"/>
  <c r="AT44" i="42" s="1"/>
  <c r="X79" i="41"/>
  <c r="X95" i="41"/>
  <c r="X92" i="41"/>
  <c r="X64" i="41"/>
  <c r="X64" i="42" s="1"/>
  <c r="X60" i="41"/>
  <c r="X60" i="42" s="1"/>
  <c r="X67" i="41"/>
  <c r="X67" i="42" s="1"/>
  <c r="AR144" i="41"/>
  <c r="AS44" i="41"/>
  <c r="AS44" i="42" s="1"/>
  <c r="AU180" i="41"/>
  <c r="Z41" i="41"/>
  <c r="Y57" i="41"/>
  <c r="AB54" i="41"/>
  <c r="AB54" i="42" s="1"/>
  <c r="V79" i="41"/>
  <c r="W78" i="41"/>
  <c r="W79" i="41" s="1"/>
  <c r="V95" i="41"/>
  <c r="V92" i="41"/>
  <c r="V5" i="41"/>
  <c r="AS143" i="41"/>
  <c r="AT143" i="41" s="1"/>
  <c r="AU143" i="41" s="1"/>
  <c r="AC83" i="41"/>
  <c r="AB83" i="41"/>
  <c r="AA85" i="41"/>
  <c r="AA87" i="41" s="1"/>
  <c r="AJ136" i="41"/>
  <c r="AK119" i="41"/>
  <c r="AJ16" i="41"/>
  <c r="AC52" i="41"/>
  <c r="AC54" i="41" s="1"/>
  <c r="AC54" i="42" s="1"/>
  <c r="AD50" i="41"/>
  <c r="AJ77" i="41"/>
  <c r="AF14" i="41"/>
  <c r="AG14" i="41" s="1"/>
  <c r="AH69" i="41"/>
  <c r="AU183" i="41"/>
  <c r="Z6" i="41"/>
  <c r="Z6" i="42" s="1"/>
  <c r="W60" i="41"/>
  <c r="V70" i="41"/>
  <c r="AN77" i="41"/>
  <c r="AG69" i="41"/>
  <c r="W67" i="41"/>
  <c r="W68" i="41" s="1"/>
  <c r="Y74" i="41"/>
  <c r="Y76" i="41" s="1"/>
  <c r="Y78" i="41" s="1"/>
  <c r="X90" i="41"/>
  <c r="AV110" i="41"/>
  <c r="J55" i="39"/>
  <c r="J148" i="36" s="1"/>
  <c r="W8" i="39"/>
  <c r="Y22" i="36"/>
  <c r="K22" i="39"/>
  <c r="Q37" i="39"/>
  <c r="M11" i="39"/>
  <c r="AE52" i="38"/>
  <c r="AM50" i="38"/>
  <c r="AF52" i="38"/>
  <c r="AA52" i="38"/>
  <c r="O22" i="39"/>
  <c r="O55" i="39" s="1"/>
  <c r="O148" i="36" s="1"/>
  <c r="E40" i="39"/>
  <c r="D6" i="38"/>
  <c r="F22" i="39"/>
  <c r="F56" i="38"/>
  <c r="G7" i="39"/>
  <c r="AA48" i="38"/>
  <c r="V20" i="39"/>
  <c r="W20" i="39" s="1"/>
  <c r="W25" i="38"/>
  <c r="X25" i="38"/>
  <c r="AH34" i="38"/>
  <c r="AI34" i="38" s="1"/>
  <c r="AJ34" i="38" s="1"/>
  <c r="AK34" i="38" s="1"/>
  <c r="AG34" i="38"/>
  <c r="F37" i="39"/>
  <c r="G29" i="39"/>
  <c r="P22" i="39"/>
  <c r="P55" i="39" s="1"/>
  <c r="P148" i="36" s="1"/>
  <c r="AH32" i="38"/>
  <c r="AI32" i="38" s="1"/>
  <c r="AJ32" i="38" s="1"/>
  <c r="AK32" i="38" s="1"/>
  <c r="AG32" i="38"/>
  <c r="AH15" i="38"/>
  <c r="AI15" i="38" s="1"/>
  <c r="AJ15" i="38" s="1"/>
  <c r="AK15" i="38" s="1"/>
  <c r="AG15" i="38"/>
  <c r="M38" i="39"/>
  <c r="H7" i="39"/>
  <c r="AH26" i="38"/>
  <c r="AI26" i="38" s="1"/>
  <c r="AJ26" i="38" s="1"/>
  <c r="AK26" i="38" s="1"/>
  <c r="AG26" i="38"/>
  <c r="AM24" i="38"/>
  <c r="AN24" i="38" s="1"/>
  <c r="AO24" i="38" s="1"/>
  <c r="AP24" i="38" s="1"/>
  <c r="AL24" i="38"/>
  <c r="M36" i="39"/>
  <c r="X47" i="39"/>
  <c r="X29" i="39"/>
  <c r="Y28" i="38"/>
  <c r="X63" i="38"/>
  <c r="G24" i="39"/>
  <c r="F27" i="39"/>
  <c r="H33" i="39"/>
  <c r="R38" i="39"/>
  <c r="H36" i="39"/>
  <c r="AB31" i="38"/>
  <c r="AB67" i="38" s="1"/>
  <c r="AC31" i="38"/>
  <c r="AD31" i="38" s="1"/>
  <c r="AE31" i="38" s="1"/>
  <c r="AF31" i="38" s="1"/>
  <c r="H24" i="39"/>
  <c r="R16" i="39"/>
  <c r="R31" i="39"/>
  <c r="R19" i="39"/>
  <c r="J37" i="39"/>
  <c r="J39" i="39" s="1"/>
  <c r="E39" i="39"/>
  <c r="Z54" i="38"/>
  <c r="Y19" i="39"/>
  <c r="Z27" i="38"/>
  <c r="X21" i="39"/>
  <c r="Y23" i="38"/>
  <c r="AM39" i="38"/>
  <c r="AN39" i="38" s="1"/>
  <c r="AO39" i="38" s="1"/>
  <c r="AP39" i="38" s="1"/>
  <c r="AL39" i="38"/>
  <c r="AH18" i="38"/>
  <c r="AI18" i="38" s="1"/>
  <c r="AJ18" i="38" s="1"/>
  <c r="AK18" i="38" s="1"/>
  <c r="AG18" i="38"/>
  <c r="K37" i="39"/>
  <c r="L29" i="39"/>
  <c r="W29" i="39"/>
  <c r="R34" i="39"/>
  <c r="W47" i="39"/>
  <c r="W63" i="38"/>
  <c r="R32" i="39"/>
  <c r="Y17" i="39"/>
  <c r="Z10" i="38"/>
  <c r="M35" i="39"/>
  <c r="G25" i="39"/>
  <c r="Q25" i="39"/>
  <c r="M18" i="39"/>
  <c r="M16" i="39"/>
  <c r="M31" i="39"/>
  <c r="M12" i="39"/>
  <c r="L24" i="39"/>
  <c r="K27" i="39"/>
  <c r="Y13" i="38"/>
  <c r="AH33" i="38"/>
  <c r="AI33" i="38" s="1"/>
  <c r="AJ33" i="38" s="1"/>
  <c r="AK33" i="38" s="1"/>
  <c r="AG33" i="38"/>
  <c r="H32" i="39"/>
  <c r="Y16" i="38"/>
  <c r="Y8" i="39" s="1"/>
  <c r="L10" i="39"/>
  <c r="P24" i="39"/>
  <c r="O27" i="39"/>
  <c r="R8" i="39"/>
  <c r="M8" i="39"/>
  <c r="I39" i="39"/>
  <c r="H12" i="39"/>
  <c r="U27" i="39"/>
  <c r="P37" i="39"/>
  <c r="AD48" i="38"/>
  <c r="AP50" i="38"/>
  <c r="R18" i="39"/>
  <c r="P56" i="38"/>
  <c r="Q7" i="39"/>
  <c r="Q12" i="39"/>
  <c r="AC52" i="38"/>
  <c r="AG19" i="38"/>
  <c r="AH19" i="38"/>
  <c r="AI19" i="38" s="1"/>
  <c r="AJ19" i="38" s="1"/>
  <c r="AK19" i="38" s="1"/>
  <c r="AH48" i="38"/>
  <c r="H15" i="39"/>
  <c r="M19" i="39"/>
  <c r="M9" i="39"/>
  <c r="Z16" i="38"/>
  <c r="Z8" i="39" s="1"/>
  <c r="H35" i="39"/>
  <c r="AE48" i="38"/>
  <c r="AH40" i="38"/>
  <c r="AI40" i="38" s="1"/>
  <c r="AJ40" i="38" s="1"/>
  <c r="AK40" i="38" s="1"/>
  <c r="AG40" i="38"/>
  <c r="R11" i="39"/>
  <c r="H16" i="39"/>
  <c r="R9" i="39"/>
  <c r="AA55" i="38"/>
  <c r="H8" i="39"/>
  <c r="K56" i="38"/>
  <c r="L7" i="39"/>
  <c r="U22" i="39"/>
  <c r="T22" i="39"/>
  <c r="AM56" i="44" l="1"/>
  <c r="AK56" i="44"/>
  <c r="AL47" i="45"/>
  <c r="AN56" i="43"/>
  <c r="AN31" i="43"/>
  <c r="AM29" i="45"/>
  <c r="AM47" i="45"/>
  <c r="AN22" i="41"/>
  <c r="AJ56" i="44"/>
  <c r="AO56" i="43"/>
  <c r="AO56" i="44" s="1"/>
  <c r="AD35" i="43"/>
  <c r="AD35" i="44" s="1"/>
  <c r="AD30" i="44"/>
  <c r="AL29" i="45"/>
  <c r="Y131" i="41"/>
  <c r="Y131" i="42" s="1"/>
  <c r="Y130" i="42"/>
  <c r="Y12" i="41"/>
  <c r="Y66" i="42"/>
  <c r="Z7" i="45"/>
  <c r="Y14" i="44"/>
  <c r="AI53" i="43"/>
  <c r="AQ35" i="42"/>
  <c r="AM153" i="41"/>
  <c r="AR35" i="41"/>
  <c r="AP35" i="42"/>
  <c r="AJ153" i="42"/>
  <c r="AJ155" i="41"/>
  <c r="AK153" i="41"/>
  <c r="AF31" i="42"/>
  <c r="AH31" i="41"/>
  <c r="AJ57" i="45"/>
  <c r="AJ57" i="46" s="1"/>
  <c r="AJ33" i="46"/>
  <c r="AF30" i="42"/>
  <c r="AK33" i="45"/>
  <c r="AL33" i="45" s="1"/>
  <c r="AH30" i="41"/>
  <c r="AS56" i="46"/>
  <c r="AT56" i="45"/>
  <c r="AI58" i="45"/>
  <c r="AH58" i="46"/>
  <c r="AD53" i="46"/>
  <c r="V71" i="41"/>
  <c r="V71" i="42" s="1"/>
  <c r="V70" i="42"/>
  <c r="AR144" i="42"/>
  <c r="AE53" i="45"/>
  <c r="S41" i="45"/>
  <c r="T40" i="45" s="1"/>
  <c r="T41" i="45" s="1"/>
  <c r="U40" i="45" s="1"/>
  <c r="U41" i="45" s="1"/>
  <c r="V40" i="45" s="1"/>
  <c r="AM16" i="43"/>
  <c r="AF25" i="43"/>
  <c r="AE30" i="43"/>
  <c r="AE63" i="43"/>
  <c r="AF28" i="43"/>
  <c r="AP55" i="43"/>
  <c r="AK16" i="43"/>
  <c r="AL16" i="43" s="1"/>
  <c r="AK23" i="43"/>
  <c r="AO55" i="43"/>
  <c r="AJ16" i="43"/>
  <c r="AU54" i="43"/>
  <c r="AN55" i="43"/>
  <c r="AS54" i="43"/>
  <c r="AT54" i="43" s="1"/>
  <c r="Y79" i="41"/>
  <c r="Y95" i="41"/>
  <c r="Y92" i="41"/>
  <c r="Y5" i="41"/>
  <c r="Y64" i="41"/>
  <c r="Y64" i="42" s="1"/>
  <c r="Y67" i="41"/>
  <c r="Y67" i="42" s="1"/>
  <c r="Y60" i="41"/>
  <c r="Y60" i="42" s="1"/>
  <c r="AV111" i="41"/>
  <c r="Y10" i="41"/>
  <c r="Y10" i="42" s="1"/>
  <c r="X70" i="41"/>
  <c r="AS144" i="41"/>
  <c r="AD83" i="41"/>
  <c r="AC85" i="41"/>
  <c r="AC87" i="41" s="1"/>
  <c r="AB87" i="41"/>
  <c r="AJ118" i="41"/>
  <c r="AJ120" i="41" s="1"/>
  <c r="AJ121" i="41" s="1"/>
  <c r="W5" i="41"/>
  <c r="W8" i="41" s="1"/>
  <c r="V8" i="41"/>
  <c r="AJ172" i="41"/>
  <c r="AJ28" i="41" s="1"/>
  <c r="AJ18" i="41"/>
  <c r="Z74" i="41"/>
  <c r="Z76" i="41"/>
  <c r="Z78" i="41" s="1"/>
  <c r="Y90" i="41"/>
  <c r="X93" i="41"/>
  <c r="X97" i="41"/>
  <c r="X100" i="41"/>
  <c r="V133" i="41"/>
  <c r="W92" i="41"/>
  <c r="W82" i="41" s="1"/>
  <c r="V93" i="41"/>
  <c r="V100" i="41"/>
  <c r="V97" i="41"/>
  <c r="W95" i="41"/>
  <c r="W96" i="41" s="1"/>
  <c r="V10" i="41"/>
  <c r="W10" i="41" s="1"/>
  <c r="AA6" i="41"/>
  <c r="AB6" i="41" s="1"/>
  <c r="AB6" i="42" s="1"/>
  <c r="AM163" i="41"/>
  <c r="AK168" i="41"/>
  <c r="AK170" i="41" s="1"/>
  <c r="AK129" i="41"/>
  <c r="AL129" i="41" s="1"/>
  <c r="AK117" i="41"/>
  <c r="AK118" i="41" s="1"/>
  <c r="AK120" i="41" s="1"/>
  <c r="AK121" i="41" s="1"/>
  <c r="AK102" i="41"/>
  <c r="AL102" i="41" s="1"/>
  <c r="AA41" i="41"/>
  <c r="Z57" i="41"/>
  <c r="AD52" i="41"/>
  <c r="AD54" i="41" s="1"/>
  <c r="AD54" i="42" s="1"/>
  <c r="AE50" i="41"/>
  <c r="X8" i="41"/>
  <c r="AM119" i="41"/>
  <c r="AK16" i="41"/>
  <c r="AK136" i="41" s="1"/>
  <c r="AL119" i="41"/>
  <c r="AH14" i="41"/>
  <c r="AI69" i="41"/>
  <c r="AO77" i="41"/>
  <c r="Z134" i="41"/>
  <c r="Z134" i="42" s="1"/>
  <c r="AS77" i="41"/>
  <c r="W70" i="41"/>
  <c r="W70" i="42" s="1"/>
  <c r="W61" i="41"/>
  <c r="X10" i="41"/>
  <c r="X10" i="42" s="1"/>
  <c r="X133" i="41"/>
  <c r="X133" i="42" s="1"/>
  <c r="Z43" i="41"/>
  <c r="Z45" i="41" s="1"/>
  <c r="Z45" i="42" s="1"/>
  <c r="AO52" i="38"/>
  <c r="K55" i="39"/>
  <c r="K148" i="36" s="1"/>
  <c r="U55" i="39"/>
  <c r="U148" i="36" s="1"/>
  <c r="T55" i="39"/>
  <c r="T148" i="36" s="1"/>
  <c r="O39" i="39"/>
  <c r="Z22" i="36"/>
  <c r="AP52" i="38"/>
  <c r="U39" i="39"/>
  <c r="M10" i="39"/>
  <c r="R37" i="39"/>
  <c r="T39" i="39"/>
  <c r="AM52" i="38"/>
  <c r="AH31" i="38"/>
  <c r="AI31" i="38" s="1"/>
  <c r="AJ31" i="38" s="1"/>
  <c r="AG31" i="38"/>
  <c r="AG67" i="38" s="1"/>
  <c r="Y47" i="39"/>
  <c r="Y29" i="39"/>
  <c r="Y63" i="38"/>
  <c r="Z28" i="38"/>
  <c r="AJ48" i="38"/>
  <c r="Z19" i="39"/>
  <c r="AA27" i="38"/>
  <c r="AL26" i="38"/>
  <c r="AM26" i="38"/>
  <c r="AN26" i="38" s="1"/>
  <c r="AO26" i="38" s="1"/>
  <c r="AP26" i="38" s="1"/>
  <c r="G37" i="39"/>
  <c r="H29" i="39"/>
  <c r="H37" i="39" s="1"/>
  <c r="L56" i="38"/>
  <c r="M7" i="39"/>
  <c r="F39" i="39"/>
  <c r="D46" i="39"/>
  <c r="D48" i="39" s="1"/>
  <c r="D11" i="38"/>
  <c r="D20" i="38" s="1"/>
  <c r="H56" i="38"/>
  <c r="H22" i="39"/>
  <c r="E41" i="39"/>
  <c r="Y21" i="39"/>
  <c r="Z23" i="38"/>
  <c r="AM33" i="38"/>
  <c r="AN33" i="38" s="1"/>
  <c r="AO33" i="38" s="1"/>
  <c r="AP33" i="38" s="1"/>
  <c r="AL33" i="38"/>
  <c r="AM34" i="38"/>
  <c r="AN34" i="38" s="1"/>
  <c r="AO34" i="38" s="1"/>
  <c r="AP34" i="38" s="1"/>
  <c r="AL34" i="38"/>
  <c r="L22" i="39"/>
  <c r="L55" i="39" s="1"/>
  <c r="L148" i="36" s="1"/>
  <c r="Z13" i="38"/>
  <c r="AK52" i="38"/>
  <c r="X20" i="39"/>
  <c r="Y25" i="38"/>
  <c r="AI52" i="38"/>
  <c r="R25" i="39"/>
  <c r="AC55" i="38"/>
  <c r="Q56" i="38"/>
  <c r="V56" i="38" s="1"/>
  <c r="R7" i="39"/>
  <c r="Q22" i="39"/>
  <c r="AA54" i="38"/>
  <c r="AM56" i="39"/>
  <c r="AM48" i="38"/>
  <c r="L37" i="39"/>
  <c r="M29" i="39"/>
  <c r="M37" i="39" s="1"/>
  <c r="AR39" i="38"/>
  <c r="AS39" i="38" s="1"/>
  <c r="AT39" i="38" s="1"/>
  <c r="AU39" i="38" s="1"/>
  <c r="AV39" i="38" s="1"/>
  <c r="AQ39" i="38"/>
  <c r="R12" i="39"/>
  <c r="L27" i="39"/>
  <c r="M24" i="39"/>
  <c r="M27" i="39" s="1"/>
  <c r="K39" i="39"/>
  <c r="AU50" i="38"/>
  <c r="AF48" i="38"/>
  <c r="H25" i="39"/>
  <c r="Q24" i="39"/>
  <c r="Q27" i="39" s="1"/>
  <c r="P27" i="39"/>
  <c r="P39" i="39" s="1"/>
  <c r="AM15" i="38"/>
  <c r="AN15" i="38" s="1"/>
  <c r="AO15" i="38" s="1"/>
  <c r="AP15" i="38" s="1"/>
  <c r="AL15" i="38"/>
  <c r="AM40" i="38"/>
  <c r="AN40" i="38" s="1"/>
  <c r="AO40" i="38" s="1"/>
  <c r="AP40" i="38" s="1"/>
  <c r="AL40" i="38"/>
  <c r="Z17" i="39"/>
  <c r="AA10" i="38"/>
  <c r="AL18" i="38"/>
  <c r="AM18" i="38"/>
  <c r="AN18" i="38" s="1"/>
  <c r="AO18" i="38" s="1"/>
  <c r="AP18" i="38" s="1"/>
  <c r="G27" i="39"/>
  <c r="AQ24" i="38"/>
  <c r="AR24" i="38"/>
  <c r="AS24" i="38" s="1"/>
  <c r="AT24" i="38" s="1"/>
  <c r="AU24" i="38" s="1"/>
  <c r="AV24" i="38" s="1"/>
  <c r="AM19" i="38"/>
  <c r="AN19" i="38" s="1"/>
  <c r="AO19" i="38" s="1"/>
  <c r="AP19" i="38" s="1"/>
  <c r="AL19" i="38"/>
  <c r="AM32" i="38"/>
  <c r="AN32" i="38" s="1"/>
  <c r="AO32" i="38" s="1"/>
  <c r="AP32" i="38" s="1"/>
  <c r="AL32" i="38"/>
  <c r="G56" i="38"/>
  <c r="G22" i="39"/>
  <c r="AI48" i="38"/>
  <c r="R24" i="39"/>
  <c r="AK31" i="38" l="1"/>
  <c r="AK31" i="44" s="1"/>
  <c r="AJ31" i="44"/>
  <c r="Z7" i="46"/>
  <c r="Z99" i="41"/>
  <c r="Z127" i="41"/>
  <c r="AI53" i="44"/>
  <c r="AK53" i="43"/>
  <c r="AK53" i="44" s="1"/>
  <c r="Z14" i="43"/>
  <c r="Z66" i="41"/>
  <c r="AO31" i="43"/>
  <c r="AN29" i="45"/>
  <c r="AN47" i="45"/>
  <c r="AO22" i="41"/>
  <c r="Y12" i="42"/>
  <c r="AN56" i="44"/>
  <c r="AJ53" i="43"/>
  <c r="AJ53" i="44" s="1"/>
  <c r="AP56" i="43"/>
  <c r="AE35" i="43"/>
  <c r="AE35" i="44" s="1"/>
  <c r="AE30" i="44"/>
  <c r="AR56" i="43"/>
  <c r="AR56" i="44" s="1"/>
  <c r="AL33" i="46"/>
  <c r="AL57" i="45"/>
  <c r="AK57" i="45"/>
  <c r="AK57" i="46" s="1"/>
  <c r="AK33" i="46"/>
  <c r="AH31" i="42"/>
  <c r="AI31" i="41"/>
  <c r="AK155" i="41"/>
  <c r="AK153" i="42"/>
  <c r="AR35" i="42"/>
  <c r="AS35" i="41"/>
  <c r="AM153" i="42"/>
  <c r="AN153" i="41"/>
  <c r="AM155" i="41"/>
  <c r="AM155" i="42" s="1"/>
  <c r="AH30" i="42"/>
  <c r="AM33" i="45"/>
  <c r="AI30" i="41"/>
  <c r="AT56" i="46"/>
  <c r="AU56" i="45"/>
  <c r="AU56" i="46" s="1"/>
  <c r="X8" i="42"/>
  <c r="X25" i="45"/>
  <c r="X12" i="45"/>
  <c r="AE53" i="46"/>
  <c r="AJ58" i="45"/>
  <c r="AI58" i="46"/>
  <c r="V72" i="41"/>
  <c r="V72" i="42" s="1"/>
  <c r="W71" i="41"/>
  <c r="AS144" i="42"/>
  <c r="AA134" i="41"/>
  <c r="AA134" i="42" s="1"/>
  <c r="AA6" i="42"/>
  <c r="Y8" i="41"/>
  <c r="Y5" i="42"/>
  <c r="X71" i="41"/>
  <c r="X71" i="42" s="1"/>
  <c r="X70" i="42"/>
  <c r="AF53" i="45"/>
  <c r="AG37" i="43"/>
  <c r="AH28" i="43"/>
  <c r="AF63" i="43"/>
  <c r="AF63" i="44" s="1"/>
  <c r="AG28" i="43"/>
  <c r="AG67" i="43" s="1"/>
  <c r="AO16" i="43"/>
  <c r="AH25" i="43"/>
  <c r="AG25" i="43"/>
  <c r="AP16" i="43"/>
  <c r="AQ16" i="43" s="1"/>
  <c r="AM23" i="43"/>
  <c r="AL23" i="43"/>
  <c r="AR55" i="43"/>
  <c r="AR16" i="43" s="1"/>
  <c r="AS55" i="43"/>
  <c r="AS16" i="43" s="1"/>
  <c r="AN16" i="43"/>
  <c r="Z46" i="41"/>
  <c r="Z46" i="42" s="1"/>
  <c r="Z5" i="41"/>
  <c r="Z5" i="42" s="1"/>
  <c r="Z62" i="41"/>
  <c r="Z62" i="42" s="1"/>
  <c r="Z59" i="41"/>
  <c r="Z59" i="42" s="1"/>
  <c r="AE83" i="41"/>
  <c r="AD85" i="41"/>
  <c r="AD87" i="41" s="1"/>
  <c r="X103" i="41"/>
  <c r="Z79" i="41"/>
  <c r="Z95" i="41"/>
  <c r="Z92" i="41"/>
  <c r="AN119" i="41"/>
  <c r="AM16" i="41"/>
  <c r="AK172" i="41"/>
  <c r="AK28" i="41" s="1"/>
  <c r="AL28" i="41" s="1"/>
  <c r="AK18" i="41"/>
  <c r="AL18" i="41" s="1"/>
  <c r="AN163" i="41"/>
  <c r="AM168" i="41"/>
  <c r="AM170" i="41" s="1"/>
  <c r="AM117" i="41"/>
  <c r="AM129" i="41"/>
  <c r="AM102" i="41"/>
  <c r="W97" i="41"/>
  <c r="W98" i="41" s="1"/>
  <c r="V11" i="41"/>
  <c r="W11" i="41" s="1"/>
  <c r="AT144" i="41"/>
  <c r="AL16" i="41"/>
  <c r="AE52" i="41"/>
  <c r="AE54" i="41" s="1"/>
  <c r="AE54" i="42" s="1"/>
  <c r="AF50" i="41"/>
  <c r="AT77" i="41"/>
  <c r="W100" i="41"/>
  <c r="W101" i="41" s="1"/>
  <c r="V13" i="41"/>
  <c r="W13" i="41" s="1"/>
  <c r="X9" i="41"/>
  <c r="X9" i="42" s="1"/>
  <c r="Y133" i="41"/>
  <c r="Y133" i="42" s="1"/>
  <c r="AD6" i="41"/>
  <c r="AI14" i="41"/>
  <c r="AJ69" i="41"/>
  <c r="V103" i="41"/>
  <c r="W93" i="41"/>
  <c r="V9" i="41"/>
  <c r="AA74" i="41"/>
  <c r="AA76" i="41"/>
  <c r="AA78" i="41" s="1"/>
  <c r="Z90" i="41"/>
  <c r="X11" i="41"/>
  <c r="X11" i="42" s="1"/>
  <c r="AB41" i="41"/>
  <c r="AC41" i="41"/>
  <c r="AA57" i="41"/>
  <c r="AG57" i="41" s="1"/>
  <c r="Y100" i="41"/>
  <c r="Y13" i="41" s="1"/>
  <c r="Y13" i="42" s="1"/>
  <c r="Y93" i="41"/>
  <c r="Y97" i="41"/>
  <c r="Y11" i="41" s="1"/>
  <c r="Y11" i="42" s="1"/>
  <c r="Y70" i="41"/>
  <c r="Y9" i="41"/>
  <c r="Y9" i="42" s="1"/>
  <c r="X13" i="41"/>
  <c r="X13" i="42" s="1"/>
  <c r="AA43" i="41"/>
  <c r="AA45" i="41" s="1"/>
  <c r="V140" i="41"/>
  <c r="AL117" i="41"/>
  <c r="AL118" i="41" s="1"/>
  <c r="AL120" i="41" s="1"/>
  <c r="AL121" i="41" s="1"/>
  <c r="X140" i="41"/>
  <c r="X140" i="42" s="1"/>
  <c r="AC6" i="41"/>
  <c r="AC6" i="42" s="1"/>
  <c r="W140" i="41"/>
  <c r="AT52" i="38"/>
  <c r="AJ52" i="38"/>
  <c r="Q55" i="39"/>
  <c r="Q148" i="36" s="1"/>
  <c r="AA22" i="36"/>
  <c r="Q39" i="39"/>
  <c r="AS52" i="38"/>
  <c r="AO48" i="38"/>
  <c r="AR32" i="38"/>
  <c r="AS32" i="38" s="1"/>
  <c r="AT32" i="38" s="1"/>
  <c r="AU32" i="38" s="1"/>
  <c r="AV32" i="38" s="1"/>
  <c r="AQ32" i="38"/>
  <c r="AN56" i="39"/>
  <c r="AR33" i="38"/>
  <c r="AS33" i="38" s="1"/>
  <c r="AT33" i="38" s="1"/>
  <c r="AU33" i="38" s="1"/>
  <c r="AV33" i="38" s="1"/>
  <c r="AQ33" i="38"/>
  <c r="M22" i="39"/>
  <c r="M55" i="39" s="1"/>
  <c r="M148" i="36" s="1"/>
  <c r="AQ15" i="38"/>
  <c r="AR15" i="38"/>
  <c r="AS15" i="38" s="1"/>
  <c r="AT15" i="38" s="1"/>
  <c r="AU15" i="38" s="1"/>
  <c r="AV15" i="38" s="1"/>
  <c r="AC54" i="38"/>
  <c r="Z21" i="39"/>
  <c r="AA23" i="38"/>
  <c r="H27" i="39"/>
  <c r="AR40" i="38"/>
  <c r="AS40" i="38" s="1"/>
  <c r="AT40" i="38" s="1"/>
  <c r="AU40" i="38" s="1"/>
  <c r="AV40" i="38" s="1"/>
  <c r="AQ40" i="38"/>
  <c r="AR19" i="38"/>
  <c r="AS19" i="38" s="1"/>
  <c r="AT19" i="38" s="1"/>
  <c r="AU19" i="38" s="1"/>
  <c r="AV19" i="38" s="1"/>
  <c r="AQ19" i="38"/>
  <c r="AR52" i="38"/>
  <c r="Y20" i="39"/>
  <c r="Z25" i="38"/>
  <c r="F40" i="39"/>
  <c r="F41" i="39" s="1"/>
  <c r="E6" i="38"/>
  <c r="E144" i="36" s="1"/>
  <c r="Z47" i="39"/>
  <c r="Z29" i="39"/>
  <c r="AA28" i="38"/>
  <c r="Z63" i="38"/>
  <c r="H39" i="39"/>
  <c r="H41" i="39" s="1"/>
  <c r="G39" i="39"/>
  <c r="R27" i="39"/>
  <c r="AU52" i="38"/>
  <c r="AR26" i="38"/>
  <c r="AS26" i="38" s="1"/>
  <c r="AT26" i="38" s="1"/>
  <c r="AU26" i="38" s="1"/>
  <c r="AV26" i="38" s="1"/>
  <c r="AQ26" i="38"/>
  <c r="AN52" i="38"/>
  <c r="AK48" i="38"/>
  <c r="D53" i="38"/>
  <c r="D43" i="38"/>
  <c r="AQ18" i="38"/>
  <c r="AR18" i="38"/>
  <c r="AS18" i="38" s="1"/>
  <c r="AT18" i="38" s="1"/>
  <c r="AU18" i="38" s="1"/>
  <c r="AV18" i="38" s="1"/>
  <c r="L39" i="39"/>
  <c r="R22" i="39"/>
  <c r="AA13" i="38"/>
  <c r="AA19" i="39"/>
  <c r="AB19" i="39" s="1"/>
  <c r="AC27" i="38"/>
  <c r="AC16" i="38" s="1"/>
  <c r="AC8" i="39" s="1"/>
  <c r="AB27" i="38"/>
  <c r="AM31" i="38"/>
  <c r="AL31" i="38"/>
  <c r="V7" i="39"/>
  <c r="X56" i="38"/>
  <c r="AA17" i="39"/>
  <c r="AB17" i="39" s="1"/>
  <c r="AB10" i="38"/>
  <c r="AC10" i="38"/>
  <c r="AD55" i="38"/>
  <c r="AA16" i="38"/>
  <c r="AN48" i="38"/>
  <c r="AR48" i="38"/>
  <c r="AR34" i="38"/>
  <c r="AS34" i="38" s="1"/>
  <c r="AT34" i="38" s="1"/>
  <c r="AU34" i="38" s="1"/>
  <c r="AV34" i="38" s="1"/>
  <c r="AQ34" i="38"/>
  <c r="AN31" i="38" l="1"/>
  <c r="AM31" i="44"/>
  <c r="AL67" i="38"/>
  <c r="AL31" i="44"/>
  <c r="AP31" i="43"/>
  <c r="AO47" i="45"/>
  <c r="AO29" i="45"/>
  <c r="AP22" i="41"/>
  <c r="Z12" i="41"/>
  <c r="Z66" i="42"/>
  <c r="AA7" i="45"/>
  <c r="Z14" i="44"/>
  <c r="AP56" i="44"/>
  <c r="AM53" i="43"/>
  <c r="AS56" i="43"/>
  <c r="Z127" i="42"/>
  <c r="Z130" i="41"/>
  <c r="AG37" i="44"/>
  <c r="Z99" i="42"/>
  <c r="AA99" i="41"/>
  <c r="AB99" i="41"/>
  <c r="AB99" i="42" s="1"/>
  <c r="AG67" i="44"/>
  <c r="AL155" i="41"/>
  <c r="AI31" i="42"/>
  <c r="AJ31" i="41"/>
  <c r="AT35" i="41"/>
  <c r="AS35" i="42"/>
  <c r="AI30" i="42"/>
  <c r="AN33" i="45"/>
  <c r="AJ30" i="41"/>
  <c r="AM33" i="46"/>
  <c r="AM57" i="45"/>
  <c r="AM57" i="46" s="1"/>
  <c r="AN153" i="42"/>
  <c r="AO153" i="41"/>
  <c r="AN155" i="41"/>
  <c r="AN155" i="42" s="1"/>
  <c r="Y8" i="42"/>
  <c r="Y25" i="45"/>
  <c r="Y12" i="45"/>
  <c r="Y12" i="46" s="1"/>
  <c r="X12" i="46"/>
  <c r="X35" i="45"/>
  <c r="X25" i="46"/>
  <c r="AK58" i="45"/>
  <c r="AF53" i="46"/>
  <c r="X105" i="41"/>
  <c r="X105" i="42" s="1"/>
  <c r="X103" i="42"/>
  <c r="W72" i="41"/>
  <c r="W72" i="42" s="1"/>
  <c r="W71" i="42"/>
  <c r="V105" i="41"/>
  <c r="V105" i="42" s="1"/>
  <c r="V103" i="42"/>
  <c r="AT144" i="42"/>
  <c r="AD134" i="41"/>
  <c r="AD134" i="42" s="1"/>
  <c r="AD6" i="42"/>
  <c r="AC134" i="41"/>
  <c r="AC134" i="42" s="1"/>
  <c r="Y140" i="41"/>
  <c r="Y140" i="42" s="1"/>
  <c r="AB45" i="41"/>
  <c r="AB46" i="41" s="1"/>
  <c r="AB46" i="42" s="1"/>
  <c r="AA45" i="42"/>
  <c r="Y71" i="41"/>
  <c r="Y71" i="42" s="1"/>
  <c r="Y70" i="42"/>
  <c r="X72" i="41"/>
  <c r="X72" i="42" s="1"/>
  <c r="AH53" i="45"/>
  <c r="AI28" i="43"/>
  <c r="AH63" i="43"/>
  <c r="AH63" i="44" s="1"/>
  <c r="AN23" i="43"/>
  <c r="AI25" i="43"/>
  <c r="AT55" i="43"/>
  <c r="AT16" i="43" s="1"/>
  <c r="Z64" i="41"/>
  <c r="Z64" i="42" s="1"/>
  <c r="Z60" i="41"/>
  <c r="Z60" i="42" s="1"/>
  <c r="Z67" i="41"/>
  <c r="Z67" i="42" s="1"/>
  <c r="Z10" i="41"/>
  <c r="Z10" i="42" s="1"/>
  <c r="Z8" i="41"/>
  <c r="AO119" i="41"/>
  <c r="AN16" i="41"/>
  <c r="AN136" i="41" s="1"/>
  <c r="AF83" i="41"/>
  <c r="AE85" i="41"/>
  <c r="AE87" i="41" s="1"/>
  <c r="Z133" i="41"/>
  <c r="Z133" i="42" s="1"/>
  <c r="AA79" i="41"/>
  <c r="AA95" i="41"/>
  <c r="AA92" i="41"/>
  <c r="AM136" i="41"/>
  <c r="Z100" i="41"/>
  <c r="Z97" i="41"/>
  <c r="Z93" i="41"/>
  <c r="Z103" i="41" s="1"/>
  <c r="AA5" i="41"/>
  <c r="AB5" i="41" s="1"/>
  <c r="AA46" i="41"/>
  <c r="AA46" i="42" s="1"/>
  <c r="AA62" i="41"/>
  <c r="AA62" i="42" s="1"/>
  <c r="AA59" i="41"/>
  <c r="AU144" i="41"/>
  <c r="AC74" i="41"/>
  <c r="AC76" i="41"/>
  <c r="AC78" i="41" s="1"/>
  <c r="AB74" i="41"/>
  <c r="AG139" i="41" s="1"/>
  <c r="AA90" i="41"/>
  <c r="AG90" i="41" s="1"/>
  <c r="AB78" i="41"/>
  <c r="AB79" i="41" s="1"/>
  <c r="AB95" i="41"/>
  <c r="AB96" i="41" s="1"/>
  <c r="AD41" i="41"/>
  <c r="AC57" i="41"/>
  <c r="V106" i="41"/>
  <c r="V106" i="42" s="1"/>
  <c r="W105" i="41"/>
  <c r="AG50" i="41"/>
  <c r="AH50" i="41"/>
  <c r="AF52" i="41"/>
  <c r="AF54" i="41" s="1"/>
  <c r="AF54" i="42" s="1"/>
  <c r="Y103" i="41"/>
  <c r="W9" i="41"/>
  <c r="W15" i="41" s="1"/>
  <c r="V15" i="41"/>
  <c r="AJ14" i="41"/>
  <c r="AK69" i="41"/>
  <c r="AM118" i="41"/>
  <c r="AM120" i="41" s="1"/>
  <c r="AM121" i="41" s="1"/>
  <c r="AC43" i="41"/>
  <c r="AC45" i="41" s="1"/>
  <c r="AC45" i="42" s="1"/>
  <c r="Y15" i="41"/>
  <c r="AE6" i="41"/>
  <c r="AE6" i="42" s="1"/>
  <c r="AM172" i="41"/>
  <c r="AM28" i="41" s="1"/>
  <c r="AM18" i="41"/>
  <c r="X106" i="41"/>
  <c r="X106" i="42" s="1"/>
  <c r="X15" i="41"/>
  <c r="W103" i="41"/>
  <c r="W103" i="42" s="1"/>
  <c r="W94" i="41"/>
  <c r="AO163" i="41"/>
  <c r="AN168" i="41"/>
  <c r="AN170" i="41" s="1"/>
  <c r="AN117" i="41"/>
  <c r="AN118" i="41" s="1"/>
  <c r="AN120" i="41" s="1"/>
  <c r="AN121" i="41" s="1"/>
  <c r="AN129" i="41"/>
  <c r="AN102" i="41"/>
  <c r="V66" i="36"/>
  <c r="V99" i="36"/>
  <c r="V127" i="36"/>
  <c r="R55" i="39"/>
  <c r="R148" i="36" s="1"/>
  <c r="R39" i="39"/>
  <c r="AC22" i="36"/>
  <c r="W7" i="39"/>
  <c r="AC19" i="39"/>
  <c r="AD27" i="38"/>
  <c r="AD16" i="38" s="1"/>
  <c r="AD8" i="39" s="1"/>
  <c r="AE55" i="38"/>
  <c r="M39" i="39"/>
  <c r="AO56" i="39"/>
  <c r="AC13" i="38"/>
  <c r="AB13" i="38"/>
  <c r="AA47" i="39"/>
  <c r="AA29" i="39"/>
  <c r="AC28" i="38"/>
  <c r="AB28" i="38"/>
  <c r="AA63" i="38"/>
  <c r="AA21" i="39"/>
  <c r="AB21" i="39" s="1"/>
  <c r="AC23" i="38"/>
  <c r="AB23" i="38"/>
  <c r="AC17" i="39"/>
  <c r="AD10" i="38"/>
  <c r="AA8" i="39"/>
  <c r="AB8" i="39" s="1"/>
  <c r="AB16" i="38"/>
  <c r="AP48" i="38"/>
  <c r="E46" i="39"/>
  <c r="E48" i="39" s="1"/>
  <c r="E11" i="38"/>
  <c r="E20" i="38" s="1"/>
  <c r="G40" i="39"/>
  <c r="G41" i="39" s="1"/>
  <c r="G6" i="38" s="1"/>
  <c r="F6" i="38"/>
  <c r="F144" i="36" s="1"/>
  <c r="AE54" i="38"/>
  <c r="AT48" i="38"/>
  <c r="Y56" i="38"/>
  <c r="Z56" i="38" s="1"/>
  <c r="Z20" i="39"/>
  <c r="AA25" i="38"/>
  <c r="AD54" i="38"/>
  <c r="M40" i="39"/>
  <c r="I40" i="39"/>
  <c r="AS48" i="38"/>
  <c r="AO31" i="38" l="1"/>
  <c r="AN31" i="44"/>
  <c r="AA7" i="46"/>
  <c r="AB7" i="45"/>
  <c r="AB7" i="46" s="1"/>
  <c r="AA14" i="43"/>
  <c r="AA66" i="41"/>
  <c r="AM53" i="44"/>
  <c r="Z131" i="41"/>
  <c r="Z131" i="42" s="1"/>
  <c r="Z130" i="42"/>
  <c r="Z12" i="42"/>
  <c r="AA127" i="41"/>
  <c r="AT56" i="43"/>
  <c r="AS56" i="44"/>
  <c r="AP47" i="45"/>
  <c r="AP29" i="45"/>
  <c r="AR22" i="41"/>
  <c r="AR31" i="43"/>
  <c r="AQ31" i="43"/>
  <c r="AN53" i="43"/>
  <c r="AN53" i="44" s="1"/>
  <c r="AQ22" i="41"/>
  <c r="AA99" i="42"/>
  <c r="AQ29" i="45"/>
  <c r="AK30" i="41"/>
  <c r="AO33" i="45"/>
  <c r="AO153" i="42"/>
  <c r="AO155" i="41"/>
  <c r="AP153" i="41"/>
  <c r="AN57" i="45"/>
  <c r="AN57" i="46" s="1"/>
  <c r="AN33" i="46"/>
  <c r="AU35" i="41"/>
  <c r="AU35" i="42" s="1"/>
  <c r="AT35" i="42"/>
  <c r="AV35" i="41"/>
  <c r="AK31" i="41"/>
  <c r="Z8" i="42"/>
  <c r="Z25" i="45"/>
  <c r="Z12" i="45"/>
  <c r="X35" i="46"/>
  <c r="Y35" i="45"/>
  <c r="X37" i="45"/>
  <c r="X37" i="46" s="1"/>
  <c r="Y25" i="46"/>
  <c r="AH53" i="46"/>
  <c r="AL58" i="45"/>
  <c r="Z105" i="41"/>
  <c r="Z103" i="42"/>
  <c r="W106" i="41"/>
  <c r="W106" i="42" s="1"/>
  <c r="W105" i="42"/>
  <c r="W17" i="41"/>
  <c r="W17" i="42" s="1"/>
  <c r="W15" i="42"/>
  <c r="V17" i="41"/>
  <c r="V141" i="41" s="1"/>
  <c r="V141" i="42" s="1"/>
  <c r="V15" i="42"/>
  <c r="Y105" i="41"/>
  <c r="Y103" i="42"/>
  <c r="AU144" i="42"/>
  <c r="AB45" i="42"/>
  <c r="AB62" i="41"/>
  <c r="AB63" i="41" s="1"/>
  <c r="AB63" i="42" s="1"/>
  <c r="Y17" i="41"/>
  <c r="Y17" i="42" s="1"/>
  <c r="Y15" i="42"/>
  <c r="AB59" i="41"/>
  <c r="AB59" i="42" s="1"/>
  <c r="AA59" i="42"/>
  <c r="Y72" i="41"/>
  <c r="Y72" i="42" s="1"/>
  <c r="AA8" i="41"/>
  <c r="AA5" i="42"/>
  <c r="X17" i="41"/>
  <c r="X17" i="42" s="1"/>
  <c r="X15" i="42"/>
  <c r="AB47" i="41"/>
  <c r="AB47" i="42" s="1"/>
  <c r="AB8" i="41"/>
  <c r="AB8" i="42" s="1"/>
  <c r="AB5" i="42"/>
  <c r="AI53" i="45"/>
  <c r="AJ25" i="43"/>
  <c r="AI30" i="43"/>
  <c r="AJ28" i="43"/>
  <c r="AI63" i="43"/>
  <c r="AI63" i="44" s="1"/>
  <c r="AO23" i="43"/>
  <c r="AU55" i="43"/>
  <c r="AU16" i="43" s="1"/>
  <c r="AV16" i="43" s="1"/>
  <c r="AG54" i="41"/>
  <c r="AG54" i="42" s="1"/>
  <c r="AP119" i="41"/>
  <c r="AO16" i="41"/>
  <c r="AQ119" i="41"/>
  <c r="Z140" i="41"/>
  <c r="Z140" i="42" s="1"/>
  <c r="AC46" i="41"/>
  <c r="AC46" i="42" s="1"/>
  <c r="AC5" i="41"/>
  <c r="AC5" i="42" s="1"/>
  <c r="AC62" i="41"/>
  <c r="AC59" i="41"/>
  <c r="AC59" i="42" s="1"/>
  <c r="AH52" i="41"/>
  <c r="AH54" i="41" s="1"/>
  <c r="AH54" i="42" s="1"/>
  <c r="AI50" i="41"/>
  <c r="AC79" i="41"/>
  <c r="AC95" i="41"/>
  <c r="AC92" i="41"/>
  <c r="AO168" i="41"/>
  <c r="AO170" i="41" s="1"/>
  <c r="AO117" i="41"/>
  <c r="AO118" i="41" s="1"/>
  <c r="AO120" i="41" s="1"/>
  <c r="AO121" i="41" s="1"/>
  <c r="AO129" i="41"/>
  <c r="AP163" i="41"/>
  <c r="AO102" i="41"/>
  <c r="AA93" i="41"/>
  <c r="AA100" i="41"/>
  <c r="AB100" i="41" s="1"/>
  <c r="AB101" i="41" s="1"/>
  <c r="AA97" i="41"/>
  <c r="AB97" i="41" s="1"/>
  <c r="AB98" i="41" s="1"/>
  <c r="AE41" i="41"/>
  <c r="AD57" i="41"/>
  <c r="AA10" i="41"/>
  <c r="AE134" i="41"/>
  <c r="AE134" i="42" s="1"/>
  <c r="AN172" i="41"/>
  <c r="AN28" i="41" s="1"/>
  <c r="AN18" i="41"/>
  <c r="AA64" i="41"/>
  <c r="AA64" i="42" s="1"/>
  <c r="AA67" i="41"/>
  <c r="AA60" i="41"/>
  <c r="AA60" i="42" s="1"/>
  <c r="Z13" i="41"/>
  <c r="AD74" i="41"/>
  <c r="AD76" i="41"/>
  <c r="AD78" i="41" s="1"/>
  <c r="AC90" i="41"/>
  <c r="AG87" i="41"/>
  <c r="Z70" i="41"/>
  <c r="Z9" i="41"/>
  <c r="Z9" i="42" s="1"/>
  <c r="AA133" i="41"/>
  <c r="AA133" i="42" s="1"/>
  <c r="Z11" i="41"/>
  <c r="Z11" i="42" s="1"/>
  <c r="AK14" i="41"/>
  <c r="AL14" i="41" s="1"/>
  <c r="AM69" i="41"/>
  <c r="AL69" i="41"/>
  <c r="AD43" i="41"/>
  <c r="AD45" i="41" s="1"/>
  <c r="AD45" i="42" s="1"/>
  <c r="AB92" i="41"/>
  <c r="AB82" i="41" s="1"/>
  <c r="AG83" i="41"/>
  <c r="AF85" i="41"/>
  <c r="AF87" i="41" s="1"/>
  <c r="AH83" i="41"/>
  <c r="AD22" i="36"/>
  <c r="AA56" i="38"/>
  <c r="AB47" i="39"/>
  <c r="AC47" i="39"/>
  <c r="AC29" i="39"/>
  <c r="AD28" i="38"/>
  <c r="AC63" i="38"/>
  <c r="AB29" i="39"/>
  <c r="M41" i="39"/>
  <c r="I41" i="39"/>
  <c r="F46" i="39"/>
  <c r="F48" i="39" s="1"/>
  <c r="F11" i="38"/>
  <c r="F20" i="38" s="1"/>
  <c r="AU48" i="38"/>
  <c r="G46" i="39"/>
  <c r="G48" i="39" s="1"/>
  <c r="H6" i="38"/>
  <c r="G11" i="38"/>
  <c r="G20" i="38" s="1"/>
  <c r="AD13" i="38"/>
  <c r="AD19" i="39"/>
  <c r="AE27" i="38"/>
  <c r="AF54" i="38"/>
  <c r="AA20" i="39"/>
  <c r="AC25" i="38"/>
  <c r="AB25" i="38"/>
  <c r="AB20" i="39"/>
  <c r="AD17" i="39"/>
  <c r="AE10" i="38"/>
  <c r="AP56" i="39"/>
  <c r="E53" i="38"/>
  <c r="E43" i="38"/>
  <c r="AH54" i="38"/>
  <c r="AC21" i="39"/>
  <c r="AD23" i="38"/>
  <c r="AE16" i="38"/>
  <c r="AE8" i="39" s="1"/>
  <c r="AF55" i="38"/>
  <c r="AP31" i="38" l="1"/>
  <c r="AO31" i="44"/>
  <c r="AI35" i="43"/>
  <c r="AI35" i="44" s="1"/>
  <c r="AI30" i="44"/>
  <c r="AO53" i="43"/>
  <c r="AQ47" i="45"/>
  <c r="AS31" i="43"/>
  <c r="AR47" i="45"/>
  <c r="AR29" i="45"/>
  <c r="AS22" i="41"/>
  <c r="AB66" i="41"/>
  <c r="AB66" i="42" s="1"/>
  <c r="AA66" i="42"/>
  <c r="AA12" i="41"/>
  <c r="AB14" i="43"/>
  <c r="AA14" i="44"/>
  <c r="AA130" i="41"/>
  <c r="AA127" i="42"/>
  <c r="AB127" i="41"/>
  <c r="AT56" i="44"/>
  <c r="AU56" i="43"/>
  <c r="AU56" i="44" s="1"/>
  <c r="AP53" i="43"/>
  <c r="AP53" i="44" s="1"/>
  <c r="AM31" i="41"/>
  <c r="AP155" i="41"/>
  <c r="AP155" i="42" s="1"/>
  <c r="AP153" i="42"/>
  <c r="AQ155" i="41"/>
  <c r="AQ155" i="42" s="1"/>
  <c r="AO155" i="42"/>
  <c r="AV35" i="42"/>
  <c r="AR153" i="41"/>
  <c r="AO57" i="45"/>
  <c r="AM30" i="41"/>
  <c r="AP33" i="45"/>
  <c r="AQ33" i="45" s="1"/>
  <c r="AA8" i="42"/>
  <c r="AA25" i="45"/>
  <c r="AA12" i="45"/>
  <c r="AA12" i="46" s="1"/>
  <c r="Y35" i="46"/>
  <c r="Z35" i="45"/>
  <c r="Y37" i="45"/>
  <c r="Y37" i="46" s="1"/>
  <c r="Z12" i="46"/>
  <c r="Z25" i="46"/>
  <c r="AB25" i="45"/>
  <c r="V19" i="41"/>
  <c r="V19" i="42" s="1"/>
  <c r="V23" i="41"/>
  <c r="V23" i="42" s="1"/>
  <c r="AI53" i="46"/>
  <c r="W19" i="41"/>
  <c r="W23" i="41"/>
  <c r="W23" i="42" s="1"/>
  <c r="W141" i="41"/>
  <c r="W141" i="42" s="1"/>
  <c r="Y106" i="41"/>
  <c r="Y106" i="42" s="1"/>
  <c r="Y105" i="42"/>
  <c r="Z106" i="41"/>
  <c r="Z106" i="42" s="1"/>
  <c r="Z105" i="42"/>
  <c r="V17" i="42"/>
  <c r="V137" i="41"/>
  <c r="V137" i="42" s="1"/>
  <c r="Y137" i="41"/>
  <c r="Y137" i="42" s="1"/>
  <c r="X137" i="41"/>
  <c r="X137" i="42" s="1"/>
  <c r="X19" i="41"/>
  <c r="X19" i="42" s="1"/>
  <c r="Y141" i="41"/>
  <c r="Y141" i="42" s="1"/>
  <c r="X141" i="41"/>
  <c r="X141" i="42" s="1"/>
  <c r="AA140" i="41"/>
  <c r="AA140" i="42" s="1"/>
  <c r="AB62" i="42"/>
  <c r="AB60" i="41"/>
  <c r="AB60" i="42" s="1"/>
  <c r="Z71" i="41"/>
  <c r="Z71" i="42" s="1"/>
  <c r="Z70" i="42"/>
  <c r="AB10" i="41"/>
  <c r="AB10" i="42" s="1"/>
  <c r="AA10" i="42"/>
  <c r="AB64" i="41"/>
  <c r="AB65" i="41" s="1"/>
  <c r="AB65" i="42" s="1"/>
  <c r="Y19" i="41"/>
  <c r="Y19" i="42" s="1"/>
  <c r="AA13" i="41"/>
  <c r="AA13" i="42" s="1"/>
  <c r="AA67" i="42"/>
  <c r="AB67" i="41"/>
  <c r="AB67" i="42" s="1"/>
  <c r="Z13" i="42"/>
  <c r="AB140" i="41"/>
  <c r="AB140" i="42" s="1"/>
  <c r="AJ53" i="45"/>
  <c r="AK28" i="43"/>
  <c r="AJ63" i="43"/>
  <c r="AK25" i="43"/>
  <c r="AJ30" i="43"/>
  <c r="AP23" i="43"/>
  <c r="AI52" i="41"/>
  <c r="AI54" i="41" s="1"/>
  <c r="AI54" i="42" s="1"/>
  <c r="AJ50" i="41"/>
  <c r="AF41" i="41"/>
  <c r="AE57" i="41"/>
  <c r="AR119" i="41"/>
  <c r="AP16" i="41"/>
  <c r="AQ16" i="41" s="1"/>
  <c r="AE43" i="41"/>
  <c r="AE45" i="41" s="1"/>
  <c r="AE45" i="42" s="1"/>
  <c r="AA70" i="41"/>
  <c r="AA9" i="41"/>
  <c r="AA9" i="42" s="1"/>
  <c r="AC10" i="41"/>
  <c r="AO136" i="41"/>
  <c r="AD79" i="41"/>
  <c r="AD95" i="41"/>
  <c r="AD92" i="41"/>
  <c r="AF6" i="41"/>
  <c r="AC8" i="41"/>
  <c r="AH85" i="41"/>
  <c r="AH87" i="41" s="1"/>
  <c r="AH6" i="41" s="1"/>
  <c r="AH6" i="42" s="1"/>
  <c r="AI83" i="41"/>
  <c r="AE74" i="41"/>
  <c r="AD90" i="41"/>
  <c r="AQ129" i="41"/>
  <c r="AC133" i="41"/>
  <c r="AC133" i="42" s="1"/>
  <c r="AA103" i="41"/>
  <c r="AM14" i="41"/>
  <c r="AN69" i="41"/>
  <c r="AA11" i="41"/>
  <c r="AO172" i="41"/>
  <c r="AO28" i="41" s="1"/>
  <c r="AO18" i="41"/>
  <c r="AC64" i="41"/>
  <c r="AC64" i="42" s="1"/>
  <c r="AC60" i="41"/>
  <c r="AC67" i="41"/>
  <c r="AP117" i="41"/>
  <c r="AP118" i="41" s="1"/>
  <c r="AP120" i="41" s="1"/>
  <c r="AP121" i="41" s="1"/>
  <c r="AP129" i="41"/>
  <c r="AR163" i="41"/>
  <c r="AP168" i="41"/>
  <c r="AP170" i="41" s="1"/>
  <c r="AP102" i="41"/>
  <c r="AQ102" i="41" s="1"/>
  <c r="AD5" i="41"/>
  <c r="AD46" i="41"/>
  <c r="AD46" i="42" s="1"/>
  <c r="AD62" i="41"/>
  <c r="AD59" i="41"/>
  <c r="AD59" i="42" s="1"/>
  <c r="AC93" i="41"/>
  <c r="AC97" i="41"/>
  <c r="AC100" i="41"/>
  <c r="Z15" i="41"/>
  <c r="AB93" i="41"/>
  <c r="AE22" i="36"/>
  <c r="AE17" i="39"/>
  <c r="AF10" i="38"/>
  <c r="G53" i="38"/>
  <c r="G43" i="38"/>
  <c r="H46" i="39"/>
  <c r="H48" i="39" s="1"/>
  <c r="H11" i="38"/>
  <c r="H20" i="38" s="1"/>
  <c r="AD47" i="39"/>
  <c r="AD29" i="39"/>
  <c r="AE28" i="38"/>
  <c r="AD63" i="38"/>
  <c r="AH55" i="38"/>
  <c r="AI55" i="38" s="1"/>
  <c r="AD21" i="39"/>
  <c r="AE23" i="38"/>
  <c r="AC20" i="39"/>
  <c r="AD25" i="38"/>
  <c r="F53" i="38"/>
  <c r="F43" i="38"/>
  <c r="AR56" i="39"/>
  <c r="AS56" i="39" s="1"/>
  <c r="J40" i="39"/>
  <c r="J41" i="39" s="1"/>
  <c r="I6" i="38"/>
  <c r="I144" i="36" s="1"/>
  <c r="AI54" i="38"/>
  <c r="N40" i="39"/>
  <c r="R40" i="39"/>
  <c r="AC56" i="38"/>
  <c r="AE13" i="38"/>
  <c r="AE19" i="39"/>
  <c r="AF27" i="38"/>
  <c r="AR31" i="38" l="1"/>
  <c r="AQ31" i="38"/>
  <c r="AP31" i="44"/>
  <c r="AB130" i="41"/>
  <c r="AB127" i="42"/>
  <c r="W19" i="42"/>
  <c r="W65" i="43"/>
  <c r="W142" i="41"/>
  <c r="W142" i="42" s="1"/>
  <c r="AT31" i="43"/>
  <c r="AS47" i="45"/>
  <c r="AS29" i="45"/>
  <c r="AT22" i="41"/>
  <c r="AA130" i="42"/>
  <c r="AA131" i="41"/>
  <c r="AA131" i="42" s="1"/>
  <c r="AC7" i="45"/>
  <c r="AB14" i="44"/>
  <c r="AO53" i="44"/>
  <c r="AR53" i="43"/>
  <c r="AR53" i="44" s="1"/>
  <c r="V142" i="41"/>
  <c r="V142" i="42" s="1"/>
  <c r="AJ35" i="43"/>
  <c r="AJ30" i="44"/>
  <c r="V24" i="41"/>
  <c r="W24" i="41" s="1"/>
  <c r="W29" i="41" s="1"/>
  <c r="AA12" i="42"/>
  <c r="AB12" i="41"/>
  <c r="AB12" i="42" s="1"/>
  <c r="AQ57" i="45"/>
  <c r="AP57" i="45"/>
  <c r="AR153" i="42"/>
  <c r="AS153" i="41"/>
  <c r="AR155" i="41"/>
  <c r="AR155" i="42" s="1"/>
  <c r="AN30" i="41"/>
  <c r="AR33" i="45"/>
  <c r="AN31" i="41"/>
  <c r="AB12" i="45"/>
  <c r="AB12" i="46" s="1"/>
  <c r="AB56" i="45"/>
  <c r="AB56" i="46" s="1"/>
  <c r="AB25" i="46"/>
  <c r="Z35" i="46"/>
  <c r="AA35" i="45"/>
  <c r="AB35" i="45" s="1"/>
  <c r="Z37" i="45"/>
  <c r="Z37" i="46" s="1"/>
  <c r="AA25" i="46"/>
  <c r="AB9" i="41"/>
  <c r="AB9" i="42" s="1"/>
  <c r="AC8" i="42"/>
  <c r="AC25" i="45"/>
  <c r="AC12" i="45"/>
  <c r="AJ53" i="46"/>
  <c r="AA105" i="41"/>
  <c r="AA105" i="42" s="1"/>
  <c r="AA103" i="42"/>
  <c r="V24" i="42"/>
  <c r="X142" i="41"/>
  <c r="X142" i="42" s="1"/>
  <c r="AB13" i="41"/>
  <c r="AB13" i="42" s="1"/>
  <c r="AG6" i="41"/>
  <c r="AG6" i="42" s="1"/>
  <c r="AF6" i="42"/>
  <c r="AB64" i="42"/>
  <c r="Z72" i="41"/>
  <c r="Z72" i="42" s="1"/>
  <c r="AB68" i="41"/>
  <c r="AB68" i="42" s="1"/>
  <c r="AA71" i="41"/>
  <c r="AA72" i="41" s="1"/>
  <c r="AA72" i="42" s="1"/>
  <c r="AA70" i="42"/>
  <c r="AD10" i="41"/>
  <c r="AD10" i="42" s="1"/>
  <c r="AD62" i="42"/>
  <c r="AD8" i="41"/>
  <c r="AD5" i="42"/>
  <c r="Y142" i="41"/>
  <c r="Y142" i="42" s="1"/>
  <c r="AB61" i="41"/>
  <c r="AB61" i="42" s="1"/>
  <c r="AB11" i="41"/>
  <c r="AB11" i="42" s="1"/>
  <c r="AA11" i="42"/>
  <c r="AB70" i="41"/>
  <c r="AB70" i="42" s="1"/>
  <c r="Z17" i="41"/>
  <c r="Z15" i="42"/>
  <c r="AK53" i="45"/>
  <c r="AM25" i="43"/>
  <c r="AL25" i="43"/>
  <c r="AQ23" i="43"/>
  <c r="AR23" i="43"/>
  <c r="AL37" i="43"/>
  <c r="AM28" i="43"/>
  <c r="AL28" i="43"/>
  <c r="AL67" i="43" s="1"/>
  <c r="AK63" i="43"/>
  <c r="AF74" i="41"/>
  <c r="AF76" i="41"/>
  <c r="AF78" i="41" s="1"/>
  <c r="AE90" i="41"/>
  <c r="AP172" i="41"/>
  <c r="AP28" i="41" s="1"/>
  <c r="AQ28" i="41" s="1"/>
  <c r="AP18" i="41"/>
  <c r="AQ18" i="41" s="1"/>
  <c r="AH41" i="41"/>
  <c r="AH43" i="41"/>
  <c r="AH45" i="41" s="1"/>
  <c r="AH45" i="42" s="1"/>
  <c r="AG41" i="41"/>
  <c r="AF57" i="41"/>
  <c r="AL57" i="41" s="1"/>
  <c r="AD133" i="41"/>
  <c r="AD133" i="42" s="1"/>
  <c r="AA15" i="41"/>
  <c r="AR117" i="41"/>
  <c r="AR168" i="41"/>
  <c r="AR170" i="41" s="1"/>
  <c r="AS163" i="41"/>
  <c r="AR129" i="41"/>
  <c r="AR102" i="41"/>
  <c r="AJ52" i="41"/>
  <c r="AJ54" i="41" s="1"/>
  <c r="AJ54" i="42" s="1"/>
  <c r="AK50" i="41"/>
  <c r="AE76" i="41"/>
  <c r="AE78" i="41" s="1"/>
  <c r="AE46" i="41"/>
  <c r="AE46" i="42" s="1"/>
  <c r="AE62" i="41"/>
  <c r="AE62" i="42" s="1"/>
  <c r="AE59" i="41"/>
  <c r="AE59" i="42" s="1"/>
  <c r="AI85" i="41"/>
  <c r="AI87" i="41" s="1"/>
  <c r="AJ83" i="41"/>
  <c r="AC140" i="41"/>
  <c r="AC140" i="42" s="1"/>
  <c r="V29" i="41"/>
  <c r="AD100" i="41"/>
  <c r="AD93" i="41"/>
  <c r="AD97" i="41"/>
  <c r="AS119" i="41"/>
  <c r="AR16" i="41"/>
  <c r="AF43" i="41"/>
  <c r="AF45" i="41" s="1"/>
  <c r="AF45" i="42" s="1"/>
  <c r="AH134" i="41"/>
  <c r="AH134" i="42" s="1"/>
  <c r="AC13" i="41"/>
  <c r="AB94" i="41"/>
  <c r="AB103" i="41"/>
  <c r="AB103" i="42" s="1"/>
  <c r="AQ117" i="41"/>
  <c r="AQ118" i="41" s="1"/>
  <c r="AQ120" i="41" s="1"/>
  <c r="AQ121" i="41" s="1"/>
  <c r="AC11" i="41"/>
  <c r="AC11" i="42" s="1"/>
  <c r="AP136" i="41"/>
  <c r="AF134" i="41"/>
  <c r="AF134" i="42" s="1"/>
  <c r="AN14" i="41"/>
  <c r="AO69" i="41"/>
  <c r="AC9" i="41"/>
  <c r="AD64" i="41"/>
  <c r="AD64" i="42" s="1"/>
  <c r="AD67" i="41"/>
  <c r="AD60" i="41"/>
  <c r="AD60" i="42" s="1"/>
  <c r="AF22" i="36"/>
  <c r="AJ55" i="38"/>
  <c r="I46" i="39"/>
  <c r="I48" i="39" s="1"/>
  <c r="I11" i="38"/>
  <c r="I20" i="38" s="1"/>
  <c r="AE29" i="39"/>
  <c r="AF28" i="38"/>
  <c r="AE63" i="38"/>
  <c r="AE47" i="39"/>
  <c r="H53" i="38"/>
  <c r="H43" i="38"/>
  <c r="AF13" i="38"/>
  <c r="AT56" i="39"/>
  <c r="AE21" i="39"/>
  <c r="AF23" i="38"/>
  <c r="AF19" i="39"/>
  <c r="AG19" i="39" s="1"/>
  <c r="AH27" i="38"/>
  <c r="AG27" i="38"/>
  <c r="R41" i="39"/>
  <c r="N41" i="39"/>
  <c r="AJ54" i="38"/>
  <c r="AF17" i="39"/>
  <c r="AG17" i="39" s="1"/>
  <c r="AH10" i="38"/>
  <c r="AG10" i="38"/>
  <c r="K40" i="39"/>
  <c r="K41" i="39" s="1"/>
  <c r="J6" i="38"/>
  <c r="J144" i="36" s="1"/>
  <c r="AD56" i="38"/>
  <c r="AH16" i="38"/>
  <c r="AF16" i="38"/>
  <c r="AD20" i="39"/>
  <c r="AE25" i="38"/>
  <c r="AK55" i="38"/>
  <c r="AQ67" i="38" l="1"/>
  <c r="AQ31" i="44"/>
  <c r="AS31" i="38"/>
  <c r="AR31" i="44"/>
  <c r="AC9" i="43"/>
  <c r="AC22" i="43"/>
  <c r="AU31" i="43"/>
  <c r="AT47" i="45"/>
  <c r="AT29" i="45"/>
  <c r="AU22" i="41"/>
  <c r="AC7" i="46"/>
  <c r="AC99" i="41"/>
  <c r="AC14" i="43"/>
  <c r="AC127" i="41"/>
  <c r="AC66" i="41"/>
  <c r="V25" i="41"/>
  <c r="W65" i="44"/>
  <c r="W64" i="43"/>
  <c r="W64" i="44" s="1"/>
  <c r="AL37" i="44"/>
  <c r="AA106" i="41"/>
  <c r="AA106" i="42" s="1"/>
  <c r="AS53" i="43"/>
  <c r="AB131" i="41"/>
  <c r="AB131" i="42" s="1"/>
  <c r="AB130" i="42"/>
  <c r="AL67" i="44"/>
  <c r="AR57" i="45"/>
  <c r="AO31" i="41"/>
  <c r="AS33" i="45"/>
  <c r="AO30" i="41"/>
  <c r="AS153" i="42"/>
  <c r="AS155" i="41"/>
  <c r="AS155" i="42" s="1"/>
  <c r="AT153" i="41"/>
  <c r="AD8" i="42"/>
  <c r="AD25" i="45"/>
  <c r="AD12" i="45"/>
  <c r="AD12" i="46" s="1"/>
  <c r="AC25" i="46"/>
  <c r="AB35" i="46"/>
  <c r="AB37" i="45"/>
  <c r="AB37" i="46" s="1"/>
  <c r="AC12" i="46"/>
  <c r="AA35" i="46"/>
  <c r="AA37" i="45"/>
  <c r="AA37" i="46" s="1"/>
  <c r="AC35" i="45"/>
  <c r="AB105" i="41"/>
  <c r="AB106" i="41" s="1"/>
  <c r="AB106" i="42" s="1"/>
  <c r="AK53" i="46"/>
  <c r="V34" i="41"/>
  <c r="V29" i="42"/>
  <c r="W143" i="41"/>
  <c r="W143" i="42" s="1"/>
  <c r="W24" i="42"/>
  <c r="W25" i="41"/>
  <c r="W29" i="42"/>
  <c r="AD140" i="41"/>
  <c r="AD140" i="42" s="1"/>
  <c r="AA17" i="41"/>
  <c r="AA17" i="42" s="1"/>
  <c r="AA15" i="42"/>
  <c r="Z17" i="42"/>
  <c r="Z137" i="41"/>
  <c r="Z137" i="42" s="1"/>
  <c r="AD13" i="41"/>
  <c r="AB15" i="41"/>
  <c r="AB17" i="41" s="1"/>
  <c r="Z19" i="41"/>
  <c r="Z19" i="42" s="1"/>
  <c r="AG45" i="41"/>
  <c r="AG46" i="41" s="1"/>
  <c r="AG46" i="42" s="1"/>
  <c r="Z141" i="41"/>
  <c r="Z141" i="42" s="1"/>
  <c r="AA71" i="42"/>
  <c r="AB71" i="41"/>
  <c r="AM53" i="45"/>
  <c r="AS23" i="43"/>
  <c r="AN25" i="43"/>
  <c r="AN28" i="43"/>
  <c r="AM63" i="43"/>
  <c r="AK52" i="41"/>
  <c r="AK54" i="41" s="1"/>
  <c r="AK54" i="42" s="1"/>
  <c r="AM50" i="41"/>
  <c r="AL50" i="41"/>
  <c r="AI6" i="41"/>
  <c r="AI6" i="42" s="1"/>
  <c r="AE79" i="41"/>
  <c r="AE95" i="41"/>
  <c r="AG78" i="41"/>
  <c r="AG79" i="41" s="1"/>
  <c r="AE92" i="41"/>
  <c r="AF79" i="41"/>
  <c r="AF95" i="41"/>
  <c r="AF92" i="41"/>
  <c r="AH74" i="41"/>
  <c r="AG74" i="41"/>
  <c r="AL139" i="41" s="1"/>
  <c r="AH76" i="41"/>
  <c r="AH78" i="41" s="1"/>
  <c r="AH5" i="41" s="1"/>
  <c r="AH5" i="42" s="1"/>
  <c r="AF90" i="41"/>
  <c r="AL90" i="41" s="1"/>
  <c r="AS117" i="41"/>
  <c r="AS118" i="41" s="1"/>
  <c r="AS120" i="41" s="1"/>
  <c r="AS121" i="41" s="1"/>
  <c r="AS129" i="41"/>
  <c r="AT163" i="41"/>
  <c r="AS168" i="41"/>
  <c r="AS170" i="41" s="1"/>
  <c r="AS102" i="41"/>
  <c r="AJ85" i="41"/>
  <c r="AJ87" i="41" s="1"/>
  <c r="AK83" i="41"/>
  <c r="AR118" i="41"/>
  <c r="AR120" i="41" s="1"/>
  <c r="AR121" i="41" s="1"/>
  <c r="AJ6" i="41"/>
  <c r="AO14" i="41"/>
  <c r="AP69" i="41"/>
  <c r="AE64" i="41"/>
  <c r="AE64" i="42" s="1"/>
  <c r="AE67" i="41"/>
  <c r="AE67" i="42" s="1"/>
  <c r="AE60" i="41"/>
  <c r="AE60" i="42" s="1"/>
  <c r="AE10" i="41"/>
  <c r="AE10" i="42" s="1"/>
  <c r="AH46" i="41"/>
  <c r="AH46" i="42" s="1"/>
  <c r="AH62" i="41"/>
  <c r="AH59" i="41"/>
  <c r="AH59" i="42" s="1"/>
  <c r="AD9" i="41"/>
  <c r="AT119" i="41"/>
  <c r="AS16" i="41"/>
  <c r="AS136" i="41" s="1"/>
  <c r="AF46" i="41"/>
  <c r="AF46" i="42" s="1"/>
  <c r="AF5" i="41"/>
  <c r="AF62" i="41"/>
  <c r="AF59" i="41"/>
  <c r="AI41" i="41"/>
  <c r="AI43" i="41" s="1"/>
  <c r="AI45" i="41" s="1"/>
  <c r="AI45" i="42" s="1"/>
  <c r="AH57" i="41"/>
  <c r="AD11" i="41"/>
  <c r="AD11" i="42" s="1"/>
  <c r="AR172" i="41"/>
  <c r="AR28" i="41" s="1"/>
  <c r="AR18" i="41"/>
  <c r="AE5" i="41"/>
  <c r="AE5" i="42" s="1"/>
  <c r="AR136" i="41"/>
  <c r="AQ69" i="41"/>
  <c r="AH22" i="36"/>
  <c r="AF29" i="39"/>
  <c r="AF47" i="39"/>
  <c r="AF63" i="38"/>
  <c r="AG28" i="38"/>
  <c r="AH28" i="38"/>
  <c r="AF21" i="39"/>
  <c r="AG21" i="39" s="1"/>
  <c r="AH23" i="38"/>
  <c r="AG23" i="38"/>
  <c r="I53" i="38"/>
  <c r="I43" i="38"/>
  <c r="J46" i="39"/>
  <c r="J48" i="39" s="1"/>
  <c r="J11" i="38"/>
  <c r="J20" i="38" s="1"/>
  <c r="AU56" i="39"/>
  <c r="AE56" i="38"/>
  <c r="AE20" i="39"/>
  <c r="AF25" i="38"/>
  <c r="L40" i="39"/>
  <c r="L41" i="39" s="1"/>
  <c r="L6" i="38" s="1"/>
  <c r="K6" i="38"/>
  <c r="K144" i="36" s="1"/>
  <c r="AH17" i="39"/>
  <c r="AI10" i="38"/>
  <c r="AK54" i="38"/>
  <c r="O40" i="39"/>
  <c r="O41" i="39" s="1"/>
  <c r="N6" i="38"/>
  <c r="N144" i="36" s="1"/>
  <c r="W40" i="39"/>
  <c r="S40" i="39"/>
  <c r="AG29" i="39"/>
  <c r="AH8" i="39"/>
  <c r="AH13" i="38"/>
  <c r="AG13" i="38"/>
  <c r="AF8" i="39"/>
  <c r="AG8" i="39" s="1"/>
  <c r="AG16" i="38"/>
  <c r="AM55" i="38"/>
  <c r="AH19" i="39"/>
  <c r="AI27" i="38"/>
  <c r="AN55" i="38"/>
  <c r="AT31" i="38" l="1"/>
  <c r="AS31" i="44"/>
  <c r="AD18" i="45"/>
  <c r="AC18" i="45"/>
  <c r="AC30" i="43"/>
  <c r="AC35" i="43" s="1"/>
  <c r="AD16" i="45"/>
  <c r="AC16" i="45"/>
  <c r="V6" i="45"/>
  <c r="V27" i="41"/>
  <c r="V25" i="42"/>
  <c r="AC12" i="41"/>
  <c r="AC66" i="42"/>
  <c r="AC70" i="41"/>
  <c r="AC130" i="41"/>
  <c r="AC127" i="42"/>
  <c r="AC14" i="44"/>
  <c r="AD7" i="45"/>
  <c r="AC99" i="42"/>
  <c r="AC103" i="41"/>
  <c r="AS53" i="44"/>
  <c r="AT53" i="43"/>
  <c r="AT53" i="44" s="1"/>
  <c r="AU53" i="43"/>
  <c r="AU53" i="44" s="1"/>
  <c r="AV22" i="41"/>
  <c r="AV31" i="43"/>
  <c r="AU47" i="45"/>
  <c r="AU29" i="45"/>
  <c r="AP30" i="41"/>
  <c r="AT33" i="45"/>
  <c r="AS57" i="45"/>
  <c r="AP31" i="41"/>
  <c r="AT153" i="42"/>
  <c r="AT155" i="41"/>
  <c r="AU153" i="41"/>
  <c r="AC35" i="46"/>
  <c r="AC37" i="45"/>
  <c r="AC37" i="46" s="1"/>
  <c r="AD35" i="45"/>
  <c r="AD25" i="46"/>
  <c r="AB105" i="42"/>
  <c r="AM53" i="46"/>
  <c r="W27" i="41"/>
  <c r="W25" i="42"/>
  <c r="V147" i="41"/>
  <c r="V147" i="42" s="1"/>
  <c r="V34" i="42"/>
  <c r="AJ134" i="41"/>
  <c r="AJ134" i="42" s="1"/>
  <c r="AJ6" i="42"/>
  <c r="AA137" i="41"/>
  <c r="AA137" i="42" s="1"/>
  <c r="AA19" i="41"/>
  <c r="AA19" i="42" s="1"/>
  <c r="AA141" i="41"/>
  <c r="AA141" i="42" s="1"/>
  <c r="AB17" i="42"/>
  <c r="AB141" i="41"/>
  <c r="AB141" i="42" s="1"/>
  <c r="AF8" i="41"/>
  <c r="AF5" i="42"/>
  <c r="AB15" i="42"/>
  <c r="Z142" i="41"/>
  <c r="Z142" i="42" s="1"/>
  <c r="AD9" i="42"/>
  <c r="AE133" i="41"/>
  <c r="AE133" i="42" s="1"/>
  <c r="AG45" i="42"/>
  <c r="AB72" i="41"/>
  <c r="AB72" i="42" s="1"/>
  <c r="AB71" i="42"/>
  <c r="AG59" i="41"/>
  <c r="AG59" i="42" s="1"/>
  <c r="AF59" i="42"/>
  <c r="AB19" i="41"/>
  <c r="AN53" i="45"/>
  <c r="AO28" i="43"/>
  <c r="AN63" i="43"/>
  <c r="AT23" i="43"/>
  <c r="AO25" i="43"/>
  <c r="AN30" i="43"/>
  <c r="AI46" i="41"/>
  <c r="AI46" i="42" s="1"/>
  <c r="AI62" i="41"/>
  <c r="AI62" i="42" s="1"/>
  <c r="AI59" i="41"/>
  <c r="AI59" i="42" s="1"/>
  <c r="AH8" i="41"/>
  <c r="AH133" i="41"/>
  <c r="AH133" i="42" s="1"/>
  <c r="AI74" i="41"/>
  <c r="AH90" i="41"/>
  <c r="AM52" i="41"/>
  <c r="AM54" i="41" s="1"/>
  <c r="AM54" i="42" s="1"/>
  <c r="AN50" i="41"/>
  <c r="AK6" i="41"/>
  <c r="AF133" i="41"/>
  <c r="AF133" i="42" s="1"/>
  <c r="AP14" i="41"/>
  <c r="AQ14" i="41" s="1"/>
  <c r="AR69" i="41"/>
  <c r="AF97" i="41"/>
  <c r="AF93" i="41"/>
  <c r="AF100" i="41"/>
  <c r="AI134" i="41"/>
  <c r="AI134" i="42" s="1"/>
  <c r="AL54" i="41"/>
  <c r="AL54" i="42" s="1"/>
  <c r="AH10" i="41"/>
  <c r="AS172" i="41"/>
  <c r="AS28" i="41" s="1"/>
  <c r="AS18" i="41"/>
  <c r="AF64" i="41"/>
  <c r="AF67" i="41"/>
  <c r="AF60" i="41"/>
  <c r="AF10" i="41"/>
  <c r="AG62" i="41"/>
  <c r="AT129" i="41"/>
  <c r="AU163" i="41"/>
  <c r="AT168" i="41"/>
  <c r="AT170" i="41" s="1"/>
  <c r="AT117" i="41"/>
  <c r="AT102" i="41"/>
  <c r="AE93" i="41"/>
  <c r="AE9" i="41" s="1"/>
  <c r="AE9" i="42" s="1"/>
  <c r="AE100" i="41"/>
  <c r="AE97" i="41"/>
  <c r="AG97" i="41" s="1"/>
  <c r="AG92" i="41"/>
  <c r="AG82" i="41" s="1"/>
  <c r="AH79" i="41"/>
  <c r="AH95" i="41"/>
  <c r="AH92" i="41"/>
  <c r="AU119" i="41"/>
  <c r="AT16" i="41"/>
  <c r="AT136" i="41" s="1"/>
  <c r="AJ41" i="41"/>
  <c r="AI57" i="41"/>
  <c r="AE8" i="41"/>
  <c r="AG5" i="41"/>
  <c r="AK85" i="41"/>
  <c r="AK87" i="41" s="1"/>
  <c r="AM83" i="41"/>
  <c r="AL83" i="41"/>
  <c r="AH64" i="41"/>
  <c r="AH64" i="42" s="1"/>
  <c r="AH60" i="41"/>
  <c r="AH67" i="41"/>
  <c r="AG95" i="41"/>
  <c r="AG96" i="41" s="1"/>
  <c r="AI22" i="36"/>
  <c r="L144" i="36"/>
  <c r="AF56" i="38"/>
  <c r="AH29" i="39"/>
  <c r="AH47" i="39"/>
  <c r="AH63" i="38"/>
  <c r="AI28" i="38"/>
  <c r="AG47" i="39"/>
  <c r="J53" i="38"/>
  <c r="J43" i="38"/>
  <c r="L46" i="39"/>
  <c r="L48" i="39" s="1"/>
  <c r="L11" i="38"/>
  <c r="L20" i="38" s="1"/>
  <c r="M6" i="38"/>
  <c r="AH56" i="38"/>
  <c r="AF20" i="39"/>
  <c r="AG20" i="39" s="1"/>
  <c r="AH25" i="38"/>
  <c r="AG25" i="38"/>
  <c r="S41" i="39"/>
  <c r="AN54" i="38"/>
  <c r="AI13" i="38"/>
  <c r="AI17" i="39"/>
  <c r="AJ10" i="38"/>
  <c r="N46" i="39"/>
  <c r="N48" i="39" s="1"/>
  <c r="N11" i="38"/>
  <c r="N20" i="38" s="1"/>
  <c r="AI19" i="39"/>
  <c r="AJ27" i="38"/>
  <c r="AI16" i="38"/>
  <c r="AI8" i="39" s="1"/>
  <c r="AH21" i="39"/>
  <c r="AI23" i="38"/>
  <c r="P40" i="39"/>
  <c r="P41" i="39" s="1"/>
  <c r="O6" i="38"/>
  <c r="O144" i="36" s="1"/>
  <c r="AO55" i="38"/>
  <c r="K46" i="39"/>
  <c r="K48" i="39" s="1"/>
  <c r="K11" i="38"/>
  <c r="K20" i="38" s="1"/>
  <c r="AM54" i="38"/>
  <c r="AU31" i="38" l="1"/>
  <c r="AT31" i="44"/>
  <c r="AD7" i="46"/>
  <c r="AV29" i="45"/>
  <c r="AD14" i="43"/>
  <c r="AV47" i="45"/>
  <c r="AN35" i="43"/>
  <c r="AN30" i="44"/>
  <c r="AD127" i="41"/>
  <c r="AC131" i="41"/>
  <c r="AC131" i="42" s="1"/>
  <c r="AC130" i="42"/>
  <c r="AC71" i="41"/>
  <c r="AD66" i="41"/>
  <c r="AC12" i="42"/>
  <c r="AC15" i="41"/>
  <c r="AC103" i="42"/>
  <c r="AC105" i="41"/>
  <c r="V27" i="42"/>
  <c r="V33" i="41"/>
  <c r="V32" i="41"/>
  <c r="V32" i="42" s="1"/>
  <c r="AB19" i="42"/>
  <c r="AB65" i="43"/>
  <c r="AD99" i="41"/>
  <c r="V38" i="43"/>
  <c r="W6" i="45"/>
  <c r="V6" i="46"/>
  <c r="V22" i="45"/>
  <c r="AU155" i="41"/>
  <c r="AU155" i="42" s="1"/>
  <c r="AU153" i="42"/>
  <c r="AV155" i="41"/>
  <c r="AV155" i="42" s="1"/>
  <c r="AT155" i="42"/>
  <c r="AR31" i="41"/>
  <c r="AT57" i="45"/>
  <c r="AR30" i="41"/>
  <c r="AU33" i="45"/>
  <c r="AE8" i="42"/>
  <c r="AE25" i="45"/>
  <c r="AE12" i="45"/>
  <c r="AH8" i="42"/>
  <c r="AH25" i="45"/>
  <c r="AH12" i="45"/>
  <c r="AF8" i="42"/>
  <c r="AF25" i="45"/>
  <c r="AF12" i="45"/>
  <c r="AF12" i="46" s="1"/>
  <c r="AD35" i="46"/>
  <c r="AE35" i="45"/>
  <c r="AD37" i="45"/>
  <c r="AD37" i="46" s="1"/>
  <c r="AN53" i="46"/>
  <c r="W27" i="42"/>
  <c r="W30" i="41"/>
  <c r="W31" i="41"/>
  <c r="AG60" i="41"/>
  <c r="AA142" i="41"/>
  <c r="AA142" i="42" s="1"/>
  <c r="AK134" i="41"/>
  <c r="AK134" i="42" s="1"/>
  <c r="AK6" i="42"/>
  <c r="AF140" i="41"/>
  <c r="AF140" i="42" s="1"/>
  <c r="AG10" i="41"/>
  <c r="AF11" i="41"/>
  <c r="AF11" i="42" s="1"/>
  <c r="AF64" i="42"/>
  <c r="AB142" i="41"/>
  <c r="AB142" i="42" s="1"/>
  <c r="AF13" i="41"/>
  <c r="AF13" i="42" s="1"/>
  <c r="AF67" i="42"/>
  <c r="AG8" i="41"/>
  <c r="AG8" i="42" s="1"/>
  <c r="AG5" i="42"/>
  <c r="AG63" i="41"/>
  <c r="AO53" i="45"/>
  <c r="AP25" i="43"/>
  <c r="AO30" i="43"/>
  <c r="AU23" i="43"/>
  <c r="AP28" i="43"/>
  <c r="AO63" i="43"/>
  <c r="AG98" i="41"/>
  <c r="AG67" i="41"/>
  <c r="AJ74" i="41"/>
  <c r="AJ76" i="41" s="1"/>
  <c r="AJ78" i="41" s="1"/>
  <c r="AI90" i="41"/>
  <c r="AG100" i="41"/>
  <c r="AG101" i="41" s="1"/>
  <c r="AH140" i="41"/>
  <c r="AH140" i="42" s="1"/>
  <c r="AL6" i="41"/>
  <c r="AL6" i="42" s="1"/>
  <c r="AU129" i="41"/>
  <c r="AU168" i="41"/>
  <c r="AU170" i="41" s="1"/>
  <c r="AU117" i="41"/>
  <c r="AU118" i="41" s="1"/>
  <c r="AU120" i="41" s="1"/>
  <c r="AU121" i="41" s="1"/>
  <c r="AU102" i="41"/>
  <c r="AV102" i="41" s="1"/>
  <c r="AI64" i="41"/>
  <c r="AI64" i="42" s="1"/>
  <c r="AI67" i="41"/>
  <c r="AI60" i="41"/>
  <c r="AI60" i="42" s="1"/>
  <c r="AR14" i="41"/>
  <c r="AS69" i="41"/>
  <c r="AK41" i="41"/>
  <c r="AJ57" i="41"/>
  <c r="AO50" i="41"/>
  <c r="AN52" i="41"/>
  <c r="AN54" i="41" s="1"/>
  <c r="AN54" i="42" s="1"/>
  <c r="AH9" i="41"/>
  <c r="AT118" i="41"/>
  <c r="AT120" i="41" s="1"/>
  <c r="AT121" i="41" s="1"/>
  <c r="AV129" i="41"/>
  <c r="AH93" i="41"/>
  <c r="AH100" i="41"/>
  <c r="AH13" i="41" s="1"/>
  <c r="AH97" i="41"/>
  <c r="AE11" i="41"/>
  <c r="AI76" i="41"/>
  <c r="AI78" i="41" s="1"/>
  <c r="AT172" i="41"/>
  <c r="AT28" i="41" s="1"/>
  <c r="AT18" i="41"/>
  <c r="AU16" i="41"/>
  <c r="AV16" i="41" s="1"/>
  <c r="AE140" i="41"/>
  <c r="AE140" i="42" s="1"/>
  <c r="AG64" i="41"/>
  <c r="AM85" i="41"/>
  <c r="AM87" i="41" s="1"/>
  <c r="AN83" i="41"/>
  <c r="AV119" i="41"/>
  <c r="AG93" i="41"/>
  <c r="AJ43" i="41"/>
  <c r="AJ45" i="41" s="1"/>
  <c r="AJ45" i="42" s="1"/>
  <c r="AE13" i="41"/>
  <c r="AL87" i="41"/>
  <c r="AF9" i="41"/>
  <c r="AJ22" i="36"/>
  <c r="T40" i="39"/>
  <c r="T41" i="39" s="1"/>
  <c r="S6" i="38"/>
  <c r="AI29" i="39"/>
  <c r="AI47" i="39"/>
  <c r="AI63" i="38"/>
  <c r="AJ28" i="38"/>
  <c r="AH20" i="39"/>
  <c r="AI25" i="38"/>
  <c r="AJ13" i="38"/>
  <c r="AP55" i="38"/>
  <c r="AJ19" i="39"/>
  <c r="AK27" i="38"/>
  <c r="AJ16" i="38"/>
  <c r="AJ8" i="39" s="1"/>
  <c r="M46" i="39"/>
  <c r="M11" i="38"/>
  <c r="M20" i="38" s="1"/>
  <c r="M43" i="38" s="1"/>
  <c r="L53" i="38"/>
  <c r="L43" i="38"/>
  <c r="AO54" i="38"/>
  <c r="AP54" i="38" s="1"/>
  <c r="AJ17" i="39"/>
  <c r="AK10" i="38"/>
  <c r="O46" i="39"/>
  <c r="O48" i="39" s="1"/>
  <c r="O11" i="38"/>
  <c r="O20" i="38" s="1"/>
  <c r="Q40" i="39"/>
  <c r="Q41" i="39" s="1"/>
  <c r="Q6" i="38" s="1"/>
  <c r="Q144" i="36" s="1"/>
  <c r="P6" i="38"/>
  <c r="P144" i="36" s="1"/>
  <c r="AJ56" i="38"/>
  <c r="AK56" i="38" s="1"/>
  <c r="K53" i="38"/>
  <c r="K43" i="38"/>
  <c r="N53" i="38"/>
  <c r="N43" i="38"/>
  <c r="AI56" i="38"/>
  <c r="AI21" i="39"/>
  <c r="AJ23" i="38"/>
  <c r="AR55" i="38"/>
  <c r="AS55" i="38" s="1"/>
  <c r="AV31" i="38" l="1"/>
  <c r="AU31" i="44"/>
  <c r="AF22" i="43"/>
  <c r="AF9" i="43"/>
  <c r="AH22" i="43"/>
  <c r="AH9" i="43"/>
  <c r="AD12" i="41"/>
  <c r="AD66" i="42"/>
  <c r="AD70" i="41"/>
  <c r="V55" i="45"/>
  <c r="V22" i="46"/>
  <c r="AC72" i="41"/>
  <c r="W6" i="46"/>
  <c r="W22" i="45"/>
  <c r="AD99" i="42"/>
  <c r="AD103" i="41"/>
  <c r="AE127" i="41"/>
  <c r="AD127" i="42"/>
  <c r="AD130" i="41"/>
  <c r="AB65" i="44"/>
  <c r="AB64" i="43"/>
  <c r="AB64" i="44" s="1"/>
  <c r="V38" i="44"/>
  <c r="W38" i="43"/>
  <c r="V41" i="43"/>
  <c r="V146" i="41"/>
  <c r="V146" i="42" s="1"/>
  <c r="V33" i="42"/>
  <c r="AD14" i="44"/>
  <c r="AE7" i="45"/>
  <c r="AC105" i="42"/>
  <c r="AC106" i="41"/>
  <c r="AC106" i="42" s="1"/>
  <c r="AC17" i="41"/>
  <c r="AC137" i="41" s="1"/>
  <c r="AO35" i="43"/>
  <c r="AO30" i="44"/>
  <c r="AV33" i="45"/>
  <c r="AU57" i="45"/>
  <c r="AS31" i="41"/>
  <c r="AS30" i="41"/>
  <c r="AE35" i="46"/>
  <c r="AF35" i="45"/>
  <c r="AG35" i="45" s="1"/>
  <c r="AE37" i="45"/>
  <c r="AE37" i="46" s="1"/>
  <c r="AF25" i="46"/>
  <c r="AH12" i="46"/>
  <c r="AH25" i="46"/>
  <c r="AE12" i="46"/>
  <c r="AG12" i="45"/>
  <c r="AG12" i="46" s="1"/>
  <c r="AE25" i="46"/>
  <c r="AG25" i="45"/>
  <c r="AO53" i="46"/>
  <c r="W33" i="41"/>
  <c r="W31" i="42"/>
  <c r="W34" i="41"/>
  <c r="W32" i="41"/>
  <c r="W32" i="42" s="1"/>
  <c r="W30" i="42"/>
  <c r="AG61" i="41"/>
  <c r="AG11" i="41"/>
  <c r="AG11" i="42" s="1"/>
  <c r="AE11" i="42"/>
  <c r="AG13" i="41"/>
  <c r="AE13" i="42"/>
  <c r="AG140" i="41"/>
  <c r="AG140" i="42" s="1"/>
  <c r="AG68" i="41"/>
  <c r="AG65" i="41"/>
  <c r="AG65" i="42" s="1"/>
  <c r="AG64" i="42"/>
  <c r="AP53" i="45"/>
  <c r="AQ37" i="43"/>
  <c r="AV23" i="43"/>
  <c r="AQ28" i="43"/>
  <c r="AQ67" i="43" s="1"/>
  <c r="AP63" i="43"/>
  <c r="AR28" i="43"/>
  <c r="AR25" i="43"/>
  <c r="AQ25" i="43"/>
  <c r="AJ79" i="41"/>
  <c r="AJ95" i="41"/>
  <c r="AJ92" i="41"/>
  <c r="AV28" i="41"/>
  <c r="AU172" i="41"/>
  <c r="AU28" i="41" s="1"/>
  <c r="AU18" i="41"/>
  <c r="AV18" i="41" s="1"/>
  <c r="AG9" i="41"/>
  <c r="AH11" i="41"/>
  <c r="AH11" i="42" s="1"/>
  <c r="AO52" i="41"/>
  <c r="AO54" i="41" s="1"/>
  <c r="AO54" i="42" s="1"/>
  <c r="AP50" i="41"/>
  <c r="AU136" i="41"/>
  <c r="AJ46" i="41"/>
  <c r="AJ46" i="42" s="1"/>
  <c r="AJ5" i="41"/>
  <c r="AJ62" i="41"/>
  <c r="AJ62" i="42" s="1"/>
  <c r="AJ59" i="41"/>
  <c r="AJ59" i="42" s="1"/>
  <c r="AK76" i="41"/>
  <c r="AK78" i="41" s="1"/>
  <c r="AK74" i="41"/>
  <c r="AJ90" i="41"/>
  <c r="AM6" i="41"/>
  <c r="AM6" i="42" s="1"/>
  <c r="AM41" i="41"/>
  <c r="AL41" i="41"/>
  <c r="AM43" i="41"/>
  <c r="AM45" i="41" s="1"/>
  <c r="AM45" i="42" s="1"/>
  <c r="AK57" i="41"/>
  <c r="AQ57" i="41" s="1"/>
  <c r="AG94" i="41"/>
  <c r="AN6" i="41"/>
  <c r="AK43" i="41"/>
  <c r="AK45" i="41" s="1"/>
  <c r="AK45" i="42" s="1"/>
  <c r="AN85" i="41"/>
  <c r="AN87" i="41" s="1"/>
  <c r="AO83" i="41"/>
  <c r="AI79" i="41"/>
  <c r="AI95" i="41"/>
  <c r="AI92" i="41"/>
  <c r="AI5" i="41"/>
  <c r="AV117" i="41"/>
  <c r="AV118" i="41" s="1"/>
  <c r="AV120" i="41" s="1"/>
  <c r="AV121" i="41" s="1"/>
  <c r="AS14" i="41"/>
  <c r="AT69" i="41"/>
  <c r="AK22" i="36"/>
  <c r="AK22" i="42" s="1"/>
  <c r="AM56" i="38"/>
  <c r="S144" i="36"/>
  <c r="AJ29" i="39"/>
  <c r="AJ29" i="46" s="1"/>
  <c r="AJ47" i="39"/>
  <c r="AJ47" i="46" s="1"/>
  <c r="AJ63" i="38"/>
  <c r="AJ63" i="44" s="1"/>
  <c r="AK28" i="38"/>
  <c r="AK19" i="39"/>
  <c r="AL19" i="39" s="1"/>
  <c r="AL27" i="38"/>
  <c r="AM27" i="38"/>
  <c r="AK16" i="38"/>
  <c r="AI20" i="39"/>
  <c r="AJ25" i="38"/>
  <c r="AJ21" i="39"/>
  <c r="AK23" i="38"/>
  <c r="O53" i="38"/>
  <c r="O43" i="38"/>
  <c r="S46" i="39"/>
  <c r="S48" i="39" s="1"/>
  <c r="S11" i="38"/>
  <c r="S20" i="38" s="1"/>
  <c r="AN56" i="38"/>
  <c r="AK17" i="39"/>
  <c r="AL17" i="39" s="1"/>
  <c r="AM10" i="38"/>
  <c r="AL10" i="38"/>
  <c r="AU55" i="38"/>
  <c r="U40" i="39"/>
  <c r="U41" i="39" s="1"/>
  <c r="T6" i="38"/>
  <c r="T144" i="36" s="1"/>
  <c r="Q46" i="39"/>
  <c r="Q48" i="39" s="1"/>
  <c r="Q11" i="38"/>
  <c r="Q20" i="38" s="1"/>
  <c r="R6" i="38"/>
  <c r="AT55" i="38"/>
  <c r="P46" i="39"/>
  <c r="P48" i="39" s="1"/>
  <c r="P11" i="38"/>
  <c r="P20" i="38" s="1"/>
  <c r="AR54" i="38"/>
  <c r="AK13" i="38"/>
  <c r="AV67" i="38" l="1"/>
  <c r="AV31" i="44"/>
  <c r="AG9" i="43"/>
  <c r="AF16" i="45"/>
  <c r="AG16" i="45" s="1"/>
  <c r="AF18" i="45"/>
  <c r="AG18" i="45" s="1"/>
  <c r="AG22" i="43"/>
  <c r="AG30" i="43" s="1"/>
  <c r="AG35" i="43" s="1"/>
  <c r="AF30" i="43"/>
  <c r="AF35" i="43" s="1"/>
  <c r="AI16" i="45"/>
  <c r="AH16" i="45"/>
  <c r="AI18" i="45"/>
  <c r="AH18" i="45"/>
  <c r="AH30" i="43"/>
  <c r="AH35" i="43" s="1"/>
  <c r="AE127" i="42"/>
  <c r="AE130" i="41"/>
  <c r="AD105" i="41"/>
  <c r="AD103" i="42"/>
  <c r="AE7" i="46"/>
  <c r="AE99" i="41"/>
  <c r="W22" i="46"/>
  <c r="W55" i="45"/>
  <c r="V42" i="43"/>
  <c r="V41" i="44"/>
  <c r="V62" i="43"/>
  <c r="V62" i="44" s="1"/>
  <c r="W38" i="44"/>
  <c r="W41" i="43"/>
  <c r="V148" i="41"/>
  <c r="V148" i="42" s="1"/>
  <c r="V55" i="46"/>
  <c r="AD71" i="41"/>
  <c r="AQ67" i="44"/>
  <c r="AE66" i="41"/>
  <c r="AE14" i="43"/>
  <c r="AC141" i="41"/>
  <c r="AC19" i="41"/>
  <c r="AQ37" i="44"/>
  <c r="AD130" i="42"/>
  <c r="AD131" i="41"/>
  <c r="AD131" i="42" s="1"/>
  <c r="AD12" i="42"/>
  <c r="AD15" i="41"/>
  <c r="AT30" i="41"/>
  <c r="AT31" i="41"/>
  <c r="AV57" i="45"/>
  <c r="AG35" i="46"/>
  <c r="AG37" i="45"/>
  <c r="AG37" i="46" s="1"/>
  <c r="AF35" i="46"/>
  <c r="AF37" i="45"/>
  <c r="AF37" i="46" s="1"/>
  <c r="AH35" i="45"/>
  <c r="AG56" i="45"/>
  <c r="AG56" i="46" s="1"/>
  <c r="AG25" i="46"/>
  <c r="AP53" i="46"/>
  <c r="W147" i="41"/>
  <c r="W147" i="42" s="1"/>
  <c r="W34" i="42"/>
  <c r="W33" i="42"/>
  <c r="W36" i="41"/>
  <c r="W36" i="42" s="1"/>
  <c r="W146" i="41"/>
  <c r="W146" i="42" s="1"/>
  <c r="AN134" i="41"/>
  <c r="AN134" i="42" s="1"/>
  <c r="AN6" i="42"/>
  <c r="AI133" i="41"/>
  <c r="AI133" i="42" s="1"/>
  <c r="AI5" i="42"/>
  <c r="AJ8" i="41"/>
  <c r="AJ140" i="41" s="1"/>
  <c r="AJ140" i="42" s="1"/>
  <c r="AJ5" i="42"/>
  <c r="AR53" i="45"/>
  <c r="AR63" i="43"/>
  <c r="AS28" i="43"/>
  <c r="AS25" i="43"/>
  <c r="AK79" i="41"/>
  <c r="AK95" i="41"/>
  <c r="AK92" i="41"/>
  <c r="AT14" i="41"/>
  <c r="AV14" i="41" s="1"/>
  <c r="AU69" i="41"/>
  <c r="AU14" i="41" s="1"/>
  <c r="AV69" i="41"/>
  <c r="AL78" i="41"/>
  <c r="AL79" i="41" s="1"/>
  <c r="AJ97" i="41"/>
  <c r="AJ100" i="41"/>
  <c r="AJ93" i="41"/>
  <c r="AM46" i="41"/>
  <c r="AM46" i="42" s="1"/>
  <c r="AM62" i="41"/>
  <c r="AM59" i="41"/>
  <c r="AM59" i="42" s="1"/>
  <c r="AK46" i="41"/>
  <c r="AK46" i="42" s="1"/>
  <c r="AK5" i="41"/>
  <c r="AK62" i="41"/>
  <c r="AL62" i="41" s="1"/>
  <c r="AK59" i="41"/>
  <c r="AK59" i="42" s="1"/>
  <c r="AJ10" i="41"/>
  <c r="AJ10" i="42" s="1"/>
  <c r="AJ133" i="41"/>
  <c r="AJ133" i="42" s="1"/>
  <c r="AM74" i="41"/>
  <c r="AL74" i="41"/>
  <c r="AQ139" i="41" s="1"/>
  <c r="AK90" i="41"/>
  <c r="AQ90" i="41" s="1"/>
  <c r="AN41" i="41"/>
  <c r="AM57" i="41"/>
  <c r="AI8" i="41"/>
  <c r="AL45" i="41"/>
  <c r="AJ64" i="41"/>
  <c r="AJ64" i="42" s="1"/>
  <c r="AJ60" i="41"/>
  <c r="AJ60" i="42" s="1"/>
  <c r="AJ67" i="41"/>
  <c r="AJ67" i="42" s="1"/>
  <c r="AL95" i="41"/>
  <c r="AI10" i="41"/>
  <c r="AI10" i="42" s="1"/>
  <c r="AO85" i="41"/>
  <c r="AO87" i="41" s="1"/>
  <c r="AO6" i="41" s="1"/>
  <c r="AO6" i="42" s="1"/>
  <c r="AP83" i="41"/>
  <c r="AI93" i="41"/>
  <c r="AI100" i="41"/>
  <c r="AI97" i="41"/>
  <c r="AP52" i="41"/>
  <c r="AP54" i="41" s="1"/>
  <c r="AP54" i="42" s="1"/>
  <c r="AR50" i="41"/>
  <c r="AQ50" i="41"/>
  <c r="AM134" i="41"/>
  <c r="AM134" i="42" s="1"/>
  <c r="AM22" i="36"/>
  <c r="AM22" i="42" s="1"/>
  <c r="AT54" i="38"/>
  <c r="V40" i="39"/>
  <c r="U6" i="38"/>
  <c r="AS54" i="38"/>
  <c r="R46" i="39"/>
  <c r="R11" i="38"/>
  <c r="R20" i="38" s="1"/>
  <c r="R43" i="38" s="1"/>
  <c r="AU54" i="38"/>
  <c r="AM17" i="39"/>
  <c r="AN10" i="38"/>
  <c r="P53" i="38"/>
  <c r="P43" i="38"/>
  <c r="Q53" i="38"/>
  <c r="Q43" i="38"/>
  <c r="S53" i="38"/>
  <c r="S43" i="38"/>
  <c r="AJ20" i="39"/>
  <c r="AK25" i="38"/>
  <c r="AK47" i="39"/>
  <c r="AK47" i="46" s="1"/>
  <c r="AK63" i="38"/>
  <c r="AK63" i="44" s="1"/>
  <c r="AK29" i="39"/>
  <c r="AM28" i="38"/>
  <c r="AL28" i="38"/>
  <c r="AK21" i="39"/>
  <c r="AL21" i="39" s="1"/>
  <c r="AM23" i="38"/>
  <c r="AL23" i="38"/>
  <c r="AM13" i="38"/>
  <c r="AL13" i="38"/>
  <c r="AK8" i="39"/>
  <c r="AL8" i="39" s="1"/>
  <c r="AL16" i="38"/>
  <c r="AO56" i="38"/>
  <c r="AP56" i="38" s="1"/>
  <c r="AM19" i="39"/>
  <c r="AN27" i="38"/>
  <c r="AM16" i="38"/>
  <c r="AM8" i="39" s="1"/>
  <c r="T46" i="39"/>
  <c r="T48" i="39" s="1"/>
  <c r="T11" i="38"/>
  <c r="T20" i="38" s="1"/>
  <c r="AL29" i="39" l="1"/>
  <c r="AL29" i="46" s="1"/>
  <c r="AK29" i="46"/>
  <c r="W41" i="44"/>
  <c r="W42" i="43"/>
  <c r="W42" i="44" s="1"/>
  <c r="W62" i="43"/>
  <c r="W62" i="44" s="1"/>
  <c r="V42" i="44"/>
  <c r="V17" i="43"/>
  <c r="V12" i="43"/>
  <c r="V7" i="43"/>
  <c r="AC142" i="41"/>
  <c r="W148" i="41"/>
  <c r="W148" i="42" s="1"/>
  <c r="W55" i="46"/>
  <c r="AF99" i="41"/>
  <c r="AE99" i="42"/>
  <c r="AE103" i="41"/>
  <c r="AF14" i="43"/>
  <c r="AE14" i="44"/>
  <c r="AF7" i="45"/>
  <c r="AE12" i="41"/>
  <c r="AE66" i="42"/>
  <c r="AF66" i="41"/>
  <c r="AE70" i="41"/>
  <c r="AG66" i="41"/>
  <c r="AD17" i="41"/>
  <c r="AD105" i="42"/>
  <c r="AD106" i="41"/>
  <c r="AD106" i="42" s="1"/>
  <c r="AE130" i="42"/>
  <c r="AE131" i="41"/>
  <c r="AE131" i="42" s="1"/>
  <c r="AD72" i="41"/>
  <c r="AF127" i="41"/>
  <c r="AU31" i="41"/>
  <c r="AU30" i="41"/>
  <c r="AH35" i="46"/>
  <c r="AH37" i="45"/>
  <c r="AH37" i="46" s="1"/>
  <c r="AI8" i="42"/>
  <c r="AI25" i="45"/>
  <c r="AI12" i="45"/>
  <c r="AJ8" i="42"/>
  <c r="AJ25" i="45"/>
  <c r="AJ12" i="45"/>
  <c r="AJ12" i="46" s="1"/>
  <c r="AR53" i="46"/>
  <c r="AK8" i="41"/>
  <c r="AK5" i="42"/>
  <c r="AK10" i="41"/>
  <c r="AL46" i="41"/>
  <c r="AL46" i="42" s="1"/>
  <c r="AL45" i="42"/>
  <c r="AL63" i="41"/>
  <c r="AS53" i="45"/>
  <c r="AT25" i="43"/>
  <c r="AS30" i="43"/>
  <c r="AS63" i="43"/>
  <c r="AT28" i="43"/>
  <c r="AK64" i="41"/>
  <c r="AL64" i="41" s="1"/>
  <c r="AK67" i="41"/>
  <c r="AK60" i="41"/>
  <c r="AP6" i="41"/>
  <c r="AK97" i="41"/>
  <c r="AK100" i="41"/>
  <c r="AK93" i="41"/>
  <c r="AK133" i="41"/>
  <c r="AK133" i="42" s="1"/>
  <c r="AI13" i="41"/>
  <c r="AL100" i="41"/>
  <c r="AQ54" i="41"/>
  <c r="AQ54" i="42" s="1"/>
  <c r="AL93" i="41"/>
  <c r="AI9" i="41"/>
  <c r="AI9" i="42" s="1"/>
  <c r="AN76" i="41"/>
  <c r="AN78" i="41" s="1"/>
  <c r="AN74" i="41"/>
  <c r="AM90" i="41"/>
  <c r="AI140" i="41"/>
  <c r="AI140" i="42" s="1"/>
  <c r="AQ87" i="41"/>
  <c r="AO134" i="41"/>
  <c r="AO134" i="42" s="1"/>
  <c r="AL92" i="41"/>
  <c r="AL82" i="41" s="1"/>
  <c r="AJ13" i="41"/>
  <c r="AJ13" i="42" s="1"/>
  <c r="AJ9" i="41"/>
  <c r="AM76" i="41"/>
  <c r="AM78" i="41" s="1"/>
  <c r="AO41" i="41"/>
  <c r="AO43" i="41"/>
  <c r="AO45" i="41" s="1"/>
  <c r="AO45" i="42" s="1"/>
  <c r="AN57" i="41"/>
  <c r="AL59" i="41"/>
  <c r="AL59" i="42" s="1"/>
  <c r="AL97" i="41"/>
  <c r="AI11" i="41"/>
  <c r="AI11" i="42" s="1"/>
  <c r="AM64" i="41"/>
  <c r="AM64" i="42" s="1"/>
  <c r="AM67" i="41"/>
  <c r="AM60" i="41"/>
  <c r="AJ11" i="41"/>
  <c r="AJ11" i="42" s="1"/>
  <c r="AR52" i="41"/>
  <c r="AR54" i="41" s="1"/>
  <c r="AR54" i="42" s="1"/>
  <c r="AS50" i="41"/>
  <c r="AP85" i="41"/>
  <c r="AP87" i="41" s="1"/>
  <c r="AR83" i="41"/>
  <c r="AQ83" i="41"/>
  <c r="AL96" i="41"/>
  <c r="AN43" i="41"/>
  <c r="AN45" i="41" s="1"/>
  <c r="AN45" i="42" s="1"/>
  <c r="AL5" i="41"/>
  <c r="AN22" i="36"/>
  <c r="AN22" i="42" s="1"/>
  <c r="U144" i="36"/>
  <c r="AK20" i="39"/>
  <c r="AL20" i="39" s="1"/>
  <c r="AM25" i="38"/>
  <c r="AL25" i="38"/>
  <c r="AN13" i="38"/>
  <c r="AN17" i="39"/>
  <c r="AO10" i="38"/>
  <c r="AR56" i="38"/>
  <c r="U46" i="39"/>
  <c r="U48" i="39" s="1"/>
  <c r="U11" i="38"/>
  <c r="U20" i="38" s="1"/>
  <c r="AM47" i="39"/>
  <c r="AM47" i="46" s="1"/>
  <c r="AM29" i="39"/>
  <c r="AM29" i="46" s="1"/>
  <c r="AN28" i="38"/>
  <c r="AM63" i="38"/>
  <c r="AM63" i="44" s="1"/>
  <c r="AM21" i="39"/>
  <c r="AN23" i="38"/>
  <c r="T53" i="38"/>
  <c r="T43" i="38"/>
  <c r="AL47" i="39"/>
  <c r="AL47" i="46" s="1"/>
  <c r="AN19" i="39"/>
  <c r="AO27" i="38"/>
  <c r="AN16" i="38"/>
  <c r="AN8" i="39" s="1"/>
  <c r="AF14" i="44" l="1"/>
  <c r="AG14" i="43"/>
  <c r="AE103" i="42"/>
  <c r="AE105" i="41"/>
  <c r="AG99" i="41"/>
  <c r="AF99" i="42"/>
  <c r="AF103" i="41"/>
  <c r="AD141" i="41"/>
  <c r="AD19" i="41"/>
  <c r="V7" i="44"/>
  <c r="V24" i="45"/>
  <c r="W7" i="43"/>
  <c r="AF130" i="41"/>
  <c r="AF127" i="42"/>
  <c r="AG127" i="41"/>
  <c r="AG66" i="42"/>
  <c r="AG70" i="41"/>
  <c r="W12" i="43"/>
  <c r="W12" i="44" s="1"/>
  <c r="V12" i="44"/>
  <c r="AE71" i="41"/>
  <c r="AE70" i="42"/>
  <c r="V26" i="45"/>
  <c r="V17" i="44"/>
  <c r="W17" i="43"/>
  <c r="W17" i="44" s="1"/>
  <c r="AD137" i="41"/>
  <c r="AF12" i="41"/>
  <c r="AF66" i="42"/>
  <c r="AF70" i="41"/>
  <c r="AE12" i="42"/>
  <c r="AE15" i="41"/>
  <c r="AG12" i="41"/>
  <c r="AS35" i="43"/>
  <c r="AS30" i="44"/>
  <c r="AF7" i="46"/>
  <c r="AG7" i="45"/>
  <c r="AG7" i="46" s="1"/>
  <c r="AK8" i="42"/>
  <c r="AK25" i="45"/>
  <c r="AK12" i="45"/>
  <c r="AK12" i="46" s="1"/>
  <c r="AJ25" i="46"/>
  <c r="AI12" i="46"/>
  <c r="AL12" i="45"/>
  <c r="AL12" i="46" s="1"/>
  <c r="AI25" i="46"/>
  <c r="AL25" i="45"/>
  <c r="AI35" i="45"/>
  <c r="AS53" i="46"/>
  <c r="AK140" i="41"/>
  <c r="AK140" i="42" s="1"/>
  <c r="AQ6" i="41"/>
  <c r="AQ6" i="42" s="1"/>
  <c r="AP6" i="42"/>
  <c r="AL10" i="41"/>
  <c r="AK13" i="41"/>
  <c r="AK13" i="42" s="1"/>
  <c r="AK67" i="42"/>
  <c r="AL67" i="41"/>
  <c r="AK11" i="41"/>
  <c r="AK11" i="42" s="1"/>
  <c r="AK64" i="42"/>
  <c r="AJ9" i="42"/>
  <c r="AL8" i="41"/>
  <c r="AL5" i="42"/>
  <c r="AL65" i="41"/>
  <c r="AL65" i="42" s="1"/>
  <c r="AL64" i="42"/>
  <c r="AT53" i="45"/>
  <c r="AU28" i="43"/>
  <c r="AT63" i="43"/>
  <c r="AU25" i="43"/>
  <c r="AT30" i="43"/>
  <c r="AP134" i="41"/>
  <c r="AP134" i="42" s="1"/>
  <c r="AL101" i="41"/>
  <c r="AK9" i="41"/>
  <c r="AL98" i="41"/>
  <c r="AN79" i="41"/>
  <c r="AN95" i="41"/>
  <c r="AN92" i="41"/>
  <c r="AL94" i="41"/>
  <c r="AR6" i="41"/>
  <c r="AR6" i="42" s="1"/>
  <c r="AN46" i="41"/>
  <c r="AN46" i="42" s="1"/>
  <c r="AN5" i="41"/>
  <c r="AN62" i="41"/>
  <c r="AN62" i="42" s="1"/>
  <c r="AN59" i="41"/>
  <c r="AN59" i="42" s="1"/>
  <c r="AR85" i="41"/>
  <c r="AR87" i="41" s="1"/>
  <c r="AS83" i="41"/>
  <c r="AM79" i="41"/>
  <c r="AM95" i="41"/>
  <c r="AM92" i="41"/>
  <c r="AM5" i="41"/>
  <c r="AM5" i="42" s="1"/>
  <c r="AO46" i="41"/>
  <c r="AO46" i="42" s="1"/>
  <c r="AO62" i="41"/>
  <c r="AO62" i="42" s="1"/>
  <c r="AO59" i="41"/>
  <c r="AO59" i="42" s="1"/>
  <c r="AP41" i="41"/>
  <c r="AP43" i="41" s="1"/>
  <c r="AP45" i="41" s="1"/>
  <c r="AP45" i="42" s="1"/>
  <c r="AO57" i="41"/>
  <c r="AS52" i="41"/>
  <c r="AS54" i="41" s="1"/>
  <c r="AS54" i="42" s="1"/>
  <c r="AT50" i="41"/>
  <c r="AL60" i="41"/>
  <c r="AO74" i="41"/>
  <c r="AO76" i="41" s="1"/>
  <c r="AO78" i="41" s="1"/>
  <c r="AN90" i="41"/>
  <c r="AO22" i="36"/>
  <c r="AO22" i="42" s="1"/>
  <c r="V21" i="36"/>
  <c r="AM20" i="39"/>
  <c r="AN25" i="38"/>
  <c r="AO19" i="39"/>
  <c r="AP27" i="38"/>
  <c r="AO16" i="38"/>
  <c r="AO8" i="39" s="1"/>
  <c r="AO13" i="38"/>
  <c r="AS56" i="38"/>
  <c r="AT56" i="38" s="1"/>
  <c r="AN47" i="39"/>
  <c r="AN47" i="46" s="1"/>
  <c r="AN29" i="39"/>
  <c r="AN29" i="46" s="1"/>
  <c r="AO28" i="38"/>
  <c r="AN63" i="38"/>
  <c r="AN63" i="44" s="1"/>
  <c r="U53" i="38"/>
  <c r="U43" i="38"/>
  <c r="AO17" i="39"/>
  <c r="AP10" i="38"/>
  <c r="AN21" i="39"/>
  <c r="AO23" i="38"/>
  <c r="AK22" i="43" l="1"/>
  <c r="AK9" i="43"/>
  <c r="V27" i="45"/>
  <c r="V24" i="46"/>
  <c r="W24" i="45"/>
  <c r="V26" i="46"/>
  <c r="W26" i="45"/>
  <c r="W26" i="46" s="1"/>
  <c r="AD142" i="41"/>
  <c r="AF105" i="41"/>
  <c r="AF103" i="42"/>
  <c r="AG12" i="42"/>
  <c r="AG15" i="41"/>
  <c r="AE15" i="42"/>
  <c r="AE17" i="41"/>
  <c r="AG99" i="42"/>
  <c r="AG103" i="41"/>
  <c r="AG103" i="42" s="1"/>
  <c r="AE71" i="42"/>
  <c r="AE72" i="41"/>
  <c r="AE72" i="42" s="1"/>
  <c r="AT35" i="43"/>
  <c r="AT30" i="44"/>
  <c r="AF71" i="41"/>
  <c r="AE105" i="42"/>
  <c r="AE106" i="41"/>
  <c r="AE106" i="42" s="1"/>
  <c r="AG105" i="41"/>
  <c r="AG127" i="42"/>
  <c r="AG130" i="41"/>
  <c r="AG14" i="44"/>
  <c r="AH7" i="45"/>
  <c r="W7" i="44"/>
  <c r="AF12" i="42"/>
  <c r="AF15" i="41"/>
  <c r="AF131" i="41"/>
  <c r="AF131" i="42" s="1"/>
  <c r="AF130" i="42"/>
  <c r="AL56" i="45"/>
  <c r="AL56" i="46" s="1"/>
  <c r="AL25" i="46"/>
  <c r="AI35" i="46"/>
  <c r="AJ35" i="45"/>
  <c r="AI37" i="45"/>
  <c r="AI37" i="46" s="1"/>
  <c r="AL8" i="42"/>
  <c r="AL65" i="45"/>
  <c r="AK25" i="46"/>
  <c r="AL68" i="41"/>
  <c r="AT53" i="46"/>
  <c r="AL13" i="41"/>
  <c r="AL11" i="41"/>
  <c r="AL11" i="42" s="1"/>
  <c r="AN8" i="41"/>
  <c r="AN5" i="42"/>
  <c r="AN133" i="41"/>
  <c r="AN133" i="42" s="1"/>
  <c r="AL140" i="41"/>
  <c r="AL140" i="42" s="1"/>
  <c r="AM133" i="41"/>
  <c r="AM133" i="42" s="1"/>
  <c r="AU53" i="45"/>
  <c r="AV37" i="43"/>
  <c r="AV25" i="43"/>
  <c r="AV28" i="43"/>
  <c r="AV67" i="43" s="1"/>
  <c r="AU63" i="43"/>
  <c r="AO79" i="41"/>
  <c r="AO95" i="41"/>
  <c r="AO92" i="41"/>
  <c r="AO5" i="41"/>
  <c r="AP46" i="41"/>
  <c r="AP46" i="42" s="1"/>
  <c r="AP62" i="41"/>
  <c r="AP59" i="41"/>
  <c r="AP59" i="42" s="1"/>
  <c r="AQ45" i="41"/>
  <c r="AT52" i="41"/>
  <c r="AT54" i="41" s="1"/>
  <c r="AT54" i="42" s="1"/>
  <c r="AU50" i="41"/>
  <c r="AL61" i="41"/>
  <c r="AN100" i="41"/>
  <c r="AN93" i="41"/>
  <c r="AN97" i="41"/>
  <c r="AP74" i="41"/>
  <c r="AP76" i="41" s="1"/>
  <c r="AP78" i="41" s="1"/>
  <c r="AO90" i="41"/>
  <c r="AN64" i="41"/>
  <c r="AN64" i="42" s="1"/>
  <c r="AN67" i="41"/>
  <c r="AN60" i="41"/>
  <c r="AN60" i="42" s="1"/>
  <c r="AS6" i="41"/>
  <c r="AS6" i="42" s="1"/>
  <c r="AN10" i="41"/>
  <c r="AN10" i="42" s="1"/>
  <c r="AM10" i="41"/>
  <c r="AO64" i="41"/>
  <c r="AO64" i="42" s="1"/>
  <c r="AO60" i="41"/>
  <c r="AO60" i="42" s="1"/>
  <c r="AO67" i="41"/>
  <c r="AO67" i="42" s="1"/>
  <c r="AR134" i="41"/>
  <c r="AR134" i="42" s="1"/>
  <c r="AM8" i="41"/>
  <c r="AR41" i="41"/>
  <c r="AQ41" i="41"/>
  <c r="AR43" i="41"/>
  <c r="AR45" i="41" s="1"/>
  <c r="AR45" i="42" s="1"/>
  <c r="AP57" i="41"/>
  <c r="AV57" i="41" s="1"/>
  <c r="AL9" i="41"/>
  <c r="AT83" i="41"/>
  <c r="AS85" i="41"/>
  <c r="AS87" i="41" s="1"/>
  <c r="AM93" i="41"/>
  <c r="AM100" i="41"/>
  <c r="AM97" i="41"/>
  <c r="AO10" i="41"/>
  <c r="AO10" i="42" s="1"/>
  <c r="AP22" i="36"/>
  <c r="AP22" i="42" s="1"/>
  <c r="AO47" i="39"/>
  <c r="AO47" i="46" s="1"/>
  <c r="AO29" i="39"/>
  <c r="AO29" i="46" s="1"/>
  <c r="AO63" i="38"/>
  <c r="AO63" i="44" s="1"/>
  <c r="AP28" i="38"/>
  <c r="AN20" i="39"/>
  <c r="AO25" i="38"/>
  <c r="AQ17" i="39"/>
  <c r="AP13" i="38"/>
  <c r="AP19" i="39"/>
  <c r="AQ19" i="39" s="1"/>
  <c r="AR27" i="38"/>
  <c r="AQ27" i="38"/>
  <c r="AP16" i="38"/>
  <c r="AO21" i="39"/>
  <c r="AP23" i="38"/>
  <c r="AP17" i="39"/>
  <c r="AR10" i="38"/>
  <c r="AQ10" i="38"/>
  <c r="AU56" i="38"/>
  <c r="V53" i="38"/>
  <c r="X53" i="38" s="1"/>
  <c r="AK16" i="45" l="1"/>
  <c r="AL16" i="45" s="1"/>
  <c r="AL9" i="43"/>
  <c r="AK18" i="45"/>
  <c r="AL18" i="45" s="1"/>
  <c r="AL22" i="43"/>
  <c r="AL30" i="43" s="1"/>
  <c r="AL35" i="43" s="1"/>
  <c r="AK30" i="43"/>
  <c r="AK35" i="43" s="1"/>
  <c r="AE17" i="42"/>
  <c r="AE141" i="41"/>
  <c r="AE141" i="42" s="1"/>
  <c r="AE19" i="41"/>
  <c r="AG17" i="41"/>
  <c r="AH7" i="46"/>
  <c r="AH14" i="43"/>
  <c r="AH127" i="41"/>
  <c r="AH66" i="41"/>
  <c r="AH99" i="41"/>
  <c r="AF105" i="42"/>
  <c r="AF106" i="41"/>
  <c r="AF106" i="42" s="1"/>
  <c r="AV37" i="44"/>
  <c r="AF72" i="41"/>
  <c r="AG131" i="41"/>
  <c r="AG131" i="42" s="1"/>
  <c r="AG130" i="42"/>
  <c r="AG105" i="42"/>
  <c r="AG106" i="41"/>
  <c r="AG106" i="42" s="1"/>
  <c r="AE137" i="41"/>
  <c r="AE137" i="42" s="1"/>
  <c r="AF17" i="41"/>
  <c r="AF137" i="41" s="1"/>
  <c r="AG71" i="41"/>
  <c r="W24" i="46"/>
  <c r="W27" i="45"/>
  <c r="AV67" i="44"/>
  <c r="V27" i="46"/>
  <c r="V39" i="45"/>
  <c r="AL65" i="46"/>
  <c r="AJ35" i="46"/>
  <c r="AK35" i="45"/>
  <c r="AJ37" i="45"/>
  <c r="AM8" i="42"/>
  <c r="AM25" i="45"/>
  <c r="AM12" i="45"/>
  <c r="AN8" i="42"/>
  <c r="AN25" i="45"/>
  <c r="AN12" i="45"/>
  <c r="AN12" i="46" s="1"/>
  <c r="AU53" i="46"/>
  <c r="AN140" i="41"/>
  <c r="AN140" i="42" s="1"/>
  <c r="AO8" i="41"/>
  <c r="AO140" i="41" s="1"/>
  <c r="AO140" i="42" s="1"/>
  <c r="AO5" i="42"/>
  <c r="AQ59" i="41"/>
  <c r="AQ59" i="42" s="1"/>
  <c r="AQ46" i="41"/>
  <c r="AQ46" i="42" s="1"/>
  <c r="AQ45" i="42"/>
  <c r="AP79" i="41"/>
  <c r="AP95" i="41"/>
  <c r="AQ95" i="41" s="1"/>
  <c r="AP92" i="41"/>
  <c r="AP5" i="41"/>
  <c r="AP5" i="42" s="1"/>
  <c r="AQ78" i="41"/>
  <c r="AM13" i="41"/>
  <c r="AS134" i="41"/>
  <c r="AS134" i="42" s="1"/>
  <c r="AN11" i="41"/>
  <c r="AN11" i="42" s="1"/>
  <c r="AM9" i="41"/>
  <c r="AN9" i="41"/>
  <c r="AN9" i="42" s="1"/>
  <c r="AM140" i="41"/>
  <c r="AM140" i="42" s="1"/>
  <c r="AO13" i="41"/>
  <c r="AO13" i="42" s="1"/>
  <c r="AP64" i="41"/>
  <c r="AP64" i="42" s="1"/>
  <c r="AP67" i="41"/>
  <c r="AP67" i="42" s="1"/>
  <c r="AP60" i="41"/>
  <c r="AN13" i="41"/>
  <c r="AO133" i="41"/>
  <c r="AO133" i="42" s="1"/>
  <c r="AP10" i="41"/>
  <c r="AU83" i="41"/>
  <c r="AT85" i="41"/>
  <c r="AT87" i="41" s="1"/>
  <c r="AQ74" i="41"/>
  <c r="AV139" i="41" s="1"/>
  <c r="AR74" i="41"/>
  <c r="AR76" i="41" s="1"/>
  <c r="AR78" i="41" s="1"/>
  <c r="AP90" i="41"/>
  <c r="AV90" i="41" s="1"/>
  <c r="AV50" i="41"/>
  <c r="AU52" i="41"/>
  <c r="AU54" i="41" s="1"/>
  <c r="AU54" i="42" s="1"/>
  <c r="AO97" i="41"/>
  <c r="AO93" i="41"/>
  <c r="AO100" i="41"/>
  <c r="AO11" i="41"/>
  <c r="AO11" i="42" s="1"/>
  <c r="AR46" i="41"/>
  <c r="AR46" i="42" s="1"/>
  <c r="AR62" i="41"/>
  <c r="AR59" i="41"/>
  <c r="AR59" i="42" s="1"/>
  <c r="AQ62" i="41"/>
  <c r="AO9" i="41"/>
  <c r="AO9" i="42" s="1"/>
  <c r="AQ10" i="41"/>
  <c r="AM11" i="41"/>
  <c r="AM11" i="42" s="1"/>
  <c r="AS41" i="41"/>
  <c r="AS43" i="41"/>
  <c r="AS45" i="41" s="1"/>
  <c r="AS45" i="42" s="1"/>
  <c r="AR57" i="41"/>
  <c r="AR22" i="36"/>
  <c r="AR22" i="42" s="1"/>
  <c r="Y53" i="38"/>
  <c r="Z53" i="38" s="1"/>
  <c r="AR17" i="39"/>
  <c r="AS10" i="38"/>
  <c r="AR19" i="39"/>
  <c r="AS27" i="38"/>
  <c r="AR16" i="38"/>
  <c r="AR8" i="39" s="1"/>
  <c r="AP47" i="39"/>
  <c r="AP47" i="46" s="1"/>
  <c r="AP29" i="39"/>
  <c r="AP29" i="46" s="1"/>
  <c r="AR28" i="38"/>
  <c r="AQ28" i="38"/>
  <c r="AP63" i="38"/>
  <c r="AP63" i="44" s="1"/>
  <c r="AQ13" i="38"/>
  <c r="AR13" i="38"/>
  <c r="AO20" i="39"/>
  <c r="AP25" i="38"/>
  <c r="AP21" i="39"/>
  <c r="AQ21" i="39" s="1"/>
  <c r="AR23" i="38"/>
  <c r="AQ23" i="38"/>
  <c r="AP8" i="39"/>
  <c r="AQ8" i="39" s="1"/>
  <c r="AQ16" i="38"/>
  <c r="AM22" i="43" l="1"/>
  <c r="AM9" i="43"/>
  <c r="AH99" i="42"/>
  <c r="AH103" i="41"/>
  <c r="AH12" i="41"/>
  <c r="AH66" i="42"/>
  <c r="AH70" i="41"/>
  <c r="AH130" i="41"/>
  <c r="AH127" i="42"/>
  <c r="AH14" i="44"/>
  <c r="AI7" i="45"/>
  <c r="AI127" i="41" s="1"/>
  <c r="AG72" i="41"/>
  <c r="AG19" i="41"/>
  <c r="AG141" i="41"/>
  <c r="W27" i="46"/>
  <c r="W39" i="45"/>
  <c r="AE19" i="42"/>
  <c r="AE142" i="41"/>
  <c r="AE142" i="42" s="1"/>
  <c r="V39" i="46"/>
  <c r="V41" i="45"/>
  <c r="AF19" i="41"/>
  <c r="AF141" i="41"/>
  <c r="AM12" i="46"/>
  <c r="AM25" i="46"/>
  <c r="AN25" i="46"/>
  <c r="AO8" i="42"/>
  <c r="AO25" i="45"/>
  <c r="AO12" i="45"/>
  <c r="AO12" i="46" s="1"/>
  <c r="AK35" i="46"/>
  <c r="AK37" i="45"/>
  <c r="AM35" i="45"/>
  <c r="AL35" i="45"/>
  <c r="AQ60" i="41"/>
  <c r="AQ64" i="41"/>
  <c r="AQ64" i="42" s="1"/>
  <c r="AQ63" i="41"/>
  <c r="AR79" i="41"/>
  <c r="AR95" i="41"/>
  <c r="AR92" i="41"/>
  <c r="AR5" i="41"/>
  <c r="AR5" i="42" s="1"/>
  <c r="AS46" i="41"/>
  <c r="AS46" i="42" s="1"/>
  <c r="AS62" i="41"/>
  <c r="AS62" i="42" s="1"/>
  <c r="AS59" i="41"/>
  <c r="AS59" i="42" s="1"/>
  <c r="AR64" i="41"/>
  <c r="AR64" i="42" s="1"/>
  <c r="AR60" i="41"/>
  <c r="AR67" i="41"/>
  <c r="AT41" i="41"/>
  <c r="AT43" i="41"/>
  <c r="AT45" i="41" s="1"/>
  <c r="AT45" i="42" s="1"/>
  <c r="AS57" i="41"/>
  <c r="AP8" i="41"/>
  <c r="AQ5" i="41"/>
  <c r="AP133" i="41"/>
  <c r="AP133" i="42" s="1"/>
  <c r="AP11" i="41"/>
  <c r="AR10" i="41"/>
  <c r="AQ67" i="41"/>
  <c r="AP100" i="41"/>
  <c r="AQ100" i="41" s="1"/>
  <c r="AQ101" i="41" s="1"/>
  <c r="AP93" i="41"/>
  <c r="AP97" i="41"/>
  <c r="AQ97" i="41" s="1"/>
  <c r="AQ92" i="41"/>
  <c r="AS74" i="41"/>
  <c r="AR90" i="41"/>
  <c r="AV83" i="41"/>
  <c r="AU85" i="41"/>
  <c r="AU87" i="41" s="1"/>
  <c r="AQ96" i="41"/>
  <c r="AT6" i="41"/>
  <c r="AT6" i="42" s="1"/>
  <c r="AV54" i="41"/>
  <c r="AV54" i="42" s="1"/>
  <c r="AS22" i="36"/>
  <c r="AS22" i="42" s="1"/>
  <c r="AQ29" i="39"/>
  <c r="AQ29" i="46" s="1"/>
  <c r="AP20" i="39"/>
  <c r="AQ25" i="38"/>
  <c r="AR25" i="38"/>
  <c r="AS19" i="39"/>
  <c r="AT27" i="38"/>
  <c r="AS16" i="38"/>
  <c r="AS8" i="39" s="1"/>
  <c r="AA53" i="38"/>
  <c r="AS17" i="39"/>
  <c r="AT10" i="38"/>
  <c r="AQ20" i="39"/>
  <c r="AQ47" i="39"/>
  <c r="AQ47" i="46" s="1"/>
  <c r="AS13" i="38"/>
  <c r="AR47" i="39"/>
  <c r="AR47" i="46" s="1"/>
  <c r="AR29" i="39"/>
  <c r="AR29" i="46" s="1"/>
  <c r="AS28" i="38"/>
  <c r="AR63" i="38"/>
  <c r="AR63" i="44" s="1"/>
  <c r="AR21" i="39"/>
  <c r="AS23" i="38"/>
  <c r="AN16" i="45" l="1"/>
  <c r="AM16" i="45"/>
  <c r="AN18" i="45"/>
  <c r="AM18" i="45"/>
  <c r="AM30" i="43"/>
  <c r="AM35" i="43" s="1"/>
  <c r="AI127" i="42"/>
  <c r="AI130" i="41"/>
  <c r="AH130" i="42"/>
  <c r="AH131" i="41"/>
  <c r="AH131" i="42" s="1"/>
  <c r="AH71" i="41"/>
  <c r="AI7" i="46"/>
  <c r="W41" i="45"/>
  <c r="W39" i="46"/>
  <c r="AI14" i="43"/>
  <c r="AI66" i="41"/>
  <c r="AH12" i="42"/>
  <c r="AH15" i="41"/>
  <c r="AH103" i="42"/>
  <c r="AH105" i="41"/>
  <c r="AG65" i="43"/>
  <c r="AG142" i="41"/>
  <c r="AI99" i="41"/>
  <c r="V41" i="46"/>
  <c r="V6" i="43"/>
  <c r="AF142" i="41"/>
  <c r="AQ65" i="41"/>
  <c r="AQ65" i="42" s="1"/>
  <c r="AL37" i="45"/>
  <c r="AL35" i="46"/>
  <c r="AM35" i="46"/>
  <c r="AN35" i="45"/>
  <c r="AM37" i="45"/>
  <c r="AO25" i="46"/>
  <c r="AP8" i="42"/>
  <c r="AP25" i="45"/>
  <c r="AP12" i="45"/>
  <c r="AP12" i="46" s="1"/>
  <c r="AQ61" i="41"/>
  <c r="AQ11" i="41"/>
  <c r="AQ11" i="42" s="1"/>
  <c r="AP11" i="42"/>
  <c r="AQ8" i="41"/>
  <c r="AQ8" i="42" s="1"/>
  <c r="AQ5" i="42"/>
  <c r="AQ68" i="41"/>
  <c r="AP13" i="41"/>
  <c r="AP140" i="41"/>
  <c r="AP140" i="42" s="1"/>
  <c r="AS64" i="41"/>
  <c r="AS64" i="42" s="1"/>
  <c r="AS67" i="41"/>
  <c r="AS60" i="41"/>
  <c r="AS60" i="42" s="1"/>
  <c r="AQ93" i="41"/>
  <c r="AT134" i="41"/>
  <c r="AT134" i="42" s="1"/>
  <c r="AR8" i="41"/>
  <c r="AR100" i="41"/>
  <c r="AR93" i="41"/>
  <c r="AR97" i="41"/>
  <c r="AV87" i="41"/>
  <c r="AR9" i="41"/>
  <c r="AP9" i="41"/>
  <c r="AR133" i="41"/>
  <c r="AR133" i="42" s="1"/>
  <c r="AU6" i="41"/>
  <c r="AU134" i="41" s="1"/>
  <c r="AU134" i="42" s="1"/>
  <c r="AT5" i="41"/>
  <c r="AT46" i="41"/>
  <c r="AT46" i="42" s="1"/>
  <c r="AT62" i="41"/>
  <c r="AT62" i="42" s="1"/>
  <c r="AT59" i="41"/>
  <c r="AT59" i="42" s="1"/>
  <c r="AU41" i="41"/>
  <c r="AT57" i="41"/>
  <c r="AT74" i="41"/>
  <c r="AT76" i="41"/>
  <c r="AT78" i="41" s="1"/>
  <c r="AS90" i="41"/>
  <c r="AS76" i="41"/>
  <c r="AS78" i="41" s="1"/>
  <c r="AQ98" i="41"/>
  <c r="AU22" i="36"/>
  <c r="AU22" i="42" s="1"/>
  <c r="AT22" i="36"/>
  <c r="AT22" i="42" s="1"/>
  <c r="AS47" i="39"/>
  <c r="AS47" i="46" s="1"/>
  <c r="AS29" i="39"/>
  <c r="AS29" i="46" s="1"/>
  <c r="AT28" i="38"/>
  <c r="AS63" i="38"/>
  <c r="AS63" i="44" s="1"/>
  <c r="AR20" i="39"/>
  <c r="AS25" i="38"/>
  <c r="AT19" i="39"/>
  <c r="AU27" i="38"/>
  <c r="AT16" i="38"/>
  <c r="AT8" i="39" s="1"/>
  <c r="AS21" i="39"/>
  <c r="AT23" i="38"/>
  <c r="AT13" i="38"/>
  <c r="AC53" i="38"/>
  <c r="AT17" i="39"/>
  <c r="AU10" i="38"/>
  <c r="AP22" i="43" l="1"/>
  <c r="AP9" i="43"/>
  <c r="AR9" i="43"/>
  <c r="AR22" i="43"/>
  <c r="AI14" i="44"/>
  <c r="AJ7" i="45"/>
  <c r="AJ99" i="41"/>
  <c r="AI99" i="42"/>
  <c r="AI103" i="41"/>
  <c r="AH72" i="41"/>
  <c r="AI12" i="41"/>
  <c r="AI66" i="42"/>
  <c r="AJ66" i="41"/>
  <c r="AI70" i="41"/>
  <c r="AG64" i="43"/>
  <c r="AB40" i="45"/>
  <c r="AB40" i="46" s="1"/>
  <c r="X40" i="45"/>
  <c r="W41" i="46"/>
  <c r="AH105" i="42"/>
  <c r="AH106" i="41"/>
  <c r="AH106" i="42" s="1"/>
  <c r="AJ127" i="41"/>
  <c r="AI131" i="41"/>
  <c r="AI131" i="42" s="1"/>
  <c r="AI130" i="42"/>
  <c r="V6" i="44"/>
  <c r="V46" i="45"/>
  <c r="W6" i="43"/>
  <c r="X21" i="41"/>
  <c r="V11" i="43"/>
  <c r="AH17" i="41"/>
  <c r="AH137" i="41" s="1"/>
  <c r="AP25" i="46"/>
  <c r="AR8" i="42"/>
  <c r="AR25" i="45"/>
  <c r="AR12" i="45"/>
  <c r="AQ25" i="45"/>
  <c r="AN35" i="46"/>
  <c r="AO35" i="45"/>
  <c r="AN37" i="45"/>
  <c r="AQ12" i="45"/>
  <c r="AQ12" i="46" s="1"/>
  <c r="AV6" i="41"/>
  <c r="AV6" i="42" s="1"/>
  <c r="AU6" i="42"/>
  <c r="AQ13" i="41"/>
  <c r="AP13" i="42"/>
  <c r="AT8" i="41"/>
  <c r="AT5" i="42"/>
  <c r="AQ140" i="41"/>
  <c r="AQ140" i="42" s="1"/>
  <c r="AV41" i="41"/>
  <c r="AU57" i="41"/>
  <c r="AT10" i="41"/>
  <c r="AT10" i="42" s="1"/>
  <c r="AU43" i="41"/>
  <c r="AU45" i="41" s="1"/>
  <c r="AU45" i="42" s="1"/>
  <c r="AQ94" i="41"/>
  <c r="AR140" i="41"/>
  <c r="AR140" i="42" s="1"/>
  <c r="AR11" i="41"/>
  <c r="AR11" i="42" s="1"/>
  <c r="AT79" i="41"/>
  <c r="AT95" i="41"/>
  <c r="AT92" i="41"/>
  <c r="AT133" i="41"/>
  <c r="AT133" i="42" s="1"/>
  <c r="AU74" i="41"/>
  <c r="AU76" i="41"/>
  <c r="AU78" i="41" s="1"/>
  <c r="AT90" i="41"/>
  <c r="AQ9" i="41"/>
  <c r="AT64" i="41"/>
  <c r="AT64" i="42" s="1"/>
  <c r="AT67" i="41"/>
  <c r="AT67" i="42" s="1"/>
  <c r="AT60" i="41"/>
  <c r="AT60" i="42" s="1"/>
  <c r="AR13" i="41"/>
  <c r="AS79" i="41"/>
  <c r="AS95" i="41"/>
  <c r="AS92" i="41"/>
  <c r="AS5" i="41"/>
  <c r="AS5" i="42" s="1"/>
  <c r="AS20" i="39"/>
  <c r="AT25" i="38"/>
  <c r="AD53" i="38"/>
  <c r="AE53" i="38" s="1"/>
  <c r="AU19" i="39"/>
  <c r="AV19" i="39" s="1"/>
  <c r="AV27" i="38"/>
  <c r="AU16" i="38"/>
  <c r="AT47" i="39"/>
  <c r="AT47" i="46" s="1"/>
  <c r="AT29" i="39"/>
  <c r="AT29" i="46" s="1"/>
  <c r="AU28" i="38"/>
  <c r="AT63" i="38"/>
  <c r="AT63" i="44" s="1"/>
  <c r="AU13" i="38"/>
  <c r="AU17" i="39"/>
  <c r="AV17" i="39" s="1"/>
  <c r="AV10" i="38"/>
  <c r="AT21" i="39"/>
  <c r="AU23" i="38"/>
  <c r="AP16" i="45" l="1"/>
  <c r="AQ16" i="45" s="1"/>
  <c r="AQ9" i="43"/>
  <c r="AP18" i="45"/>
  <c r="AQ18" i="45" s="1"/>
  <c r="AQ22" i="43"/>
  <c r="AQ30" i="43" s="1"/>
  <c r="AQ35" i="43" s="1"/>
  <c r="AP30" i="43"/>
  <c r="AP35" i="43" s="1"/>
  <c r="AS18" i="45"/>
  <c r="AR18" i="45"/>
  <c r="AR30" i="43"/>
  <c r="AR35" i="43" s="1"/>
  <c r="AS16" i="45"/>
  <c r="AR16" i="45"/>
  <c r="X21" i="42"/>
  <c r="X23" i="41"/>
  <c r="AI12" i="42"/>
  <c r="AI15" i="41"/>
  <c r="V20" i="43"/>
  <c r="V11" i="44"/>
  <c r="W46" i="45"/>
  <c r="W6" i="44"/>
  <c r="W11" i="43"/>
  <c r="AI103" i="42"/>
  <c r="AI105" i="41"/>
  <c r="V46" i="46"/>
  <c r="V48" i="45"/>
  <c r="V48" i="46" s="1"/>
  <c r="AJ130" i="41"/>
  <c r="AJ127" i="42"/>
  <c r="AJ66" i="42"/>
  <c r="AJ12" i="41"/>
  <c r="AJ70" i="41"/>
  <c r="X40" i="46"/>
  <c r="AJ99" i="42"/>
  <c r="AJ103" i="41"/>
  <c r="AJ7" i="46"/>
  <c r="AI71" i="41"/>
  <c r="AH19" i="41"/>
  <c r="AH141" i="41"/>
  <c r="AJ14" i="43"/>
  <c r="AO35" i="46"/>
  <c r="AP35" i="45"/>
  <c r="AO37" i="45"/>
  <c r="AQ35" i="45"/>
  <c r="AQ56" i="45"/>
  <c r="AQ56" i="46" s="1"/>
  <c r="AQ25" i="46"/>
  <c r="AR12" i="46"/>
  <c r="AT8" i="42"/>
  <c r="AT25" i="45"/>
  <c r="AT12" i="45"/>
  <c r="AT12" i="46" s="1"/>
  <c r="AR25" i="46"/>
  <c r="AT140" i="41"/>
  <c r="AT140" i="42" s="1"/>
  <c r="AU79" i="41"/>
  <c r="AU95" i="41"/>
  <c r="AU92" i="41"/>
  <c r="AS93" i="41"/>
  <c r="AS100" i="41"/>
  <c r="AS97" i="41"/>
  <c r="AV92" i="41"/>
  <c r="AS8" i="41"/>
  <c r="AU46" i="41"/>
  <c r="AU46" i="42" s="1"/>
  <c r="AU5" i="41"/>
  <c r="AU62" i="41"/>
  <c r="AU59" i="41"/>
  <c r="AU59" i="42" s="1"/>
  <c r="AV45" i="41"/>
  <c r="AV78" i="41"/>
  <c r="AS133" i="41"/>
  <c r="AS133" i="42" s="1"/>
  <c r="AT97" i="41"/>
  <c r="AT93" i="41"/>
  <c r="AT100" i="41"/>
  <c r="AV74" i="41"/>
  <c r="AU90" i="41"/>
  <c r="AT13" i="41"/>
  <c r="AT13" i="42" s="1"/>
  <c r="AV95" i="41"/>
  <c r="AS10" i="41"/>
  <c r="AS10" i="42" s="1"/>
  <c r="AT11" i="41"/>
  <c r="AT11" i="42" s="1"/>
  <c r="AF53" i="38"/>
  <c r="AH53" i="38" s="1"/>
  <c r="AT20" i="39"/>
  <c r="AU25" i="38"/>
  <c r="AU21" i="39"/>
  <c r="AV21" i="39" s="1"/>
  <c r="AV23" i="38"/>
  <c r="AU29" i="39"/>
  <c r="AU29" i="46" s="1"/>
  <c r="AV28" i="38"/>
  <c r="AU47" i="39"/>
  <c r="AU47" i="46" s="1"/>
  <c r="AU63" i="38"/>
  <c r="AU63" i="44" s="1"/>
  <c r="AU8" i="39"/>
  <c r="AV8" i="39" s="1"/>
  <c r="AV16" i="38"/>
  <c r="AV13" i="38"/>
  <c r="V43" i="43" l="1"/>
  <c r="V43" i="44" s="1"/>
  <c r="V20" i="44"/>
  <c r="W11" i="44"/>
  <c r="W20" i="43"/>
  <c r="AJ12" i="42"/>
  <c r="AJ15" i="41"/>
  <c r="AI17" i="41"/>
  <c r="AI137" i="41" s="1"/>
  <c r="AJ71" i="41"/>
  <c r="AJ70" i="42"/>
  <c r="W46" i="46"/>
  <c r="W48" i="45"/>
  <c r="W48" i="46" s="1"/>
  <c r="AH142" i="41"/>
  <c r="X23" i="42"/>
  <c r="X24" i="41"/>
  <c r="AI105" i="42"/>
  <c r="AI106" i="41"/>
  <c r="AI106" i="42" s="1"/>
  <c r="AJ14" i="44"/>
  <c r="AK7" i="45"/>
  <c r="AK14" i="43" s="1"/>
  <c r="AJ105" i="41"/>
  <c r="AJ103" i="42"/>
  <c r="AI72" i="41"/>
  <c r="AJ130" i="42"/>
  <c r="AJ131" i="41"/>
  <c r="AJ131" i="42" s="1"/>
  <c r="AT25" i="46"/>
  <c r="AS8" i="42"/>
  <c r="AS25" i="45"/>
  <c r="AS12" i="45"/>
  <c r="AQ37" i="45"/>
  <c r="AQ35" i="46"/>
  <c r="AP35" i="46"/>
  <c r="AP37" i="45"/>
  <c r="AR35" i="45"/>
  <c r="AU8" i="41"/>
  <c r="AU5" i="42"/>
  <c r="AV46" i="41"/>
  <c r="AV46" i="42" s="1"/>
  <c r="AV45" i="42"/>
  <c r="AS11" i="41"/>
  <c r="AS11" i="42" s="1"/>
  <c r="AV96" i="41"/>
  <c r="AS9" i="41"/>
  <c r="AS9" i="42" s="1"/>
  <c r="AV93" i="41"/>
  <c r="AU97" i="41"/>
  <c r="AV97" i="41" s="1"/>
  <c r="AV98" i="41" s="1"/>
  <c r="AU100" i="41"/>
  <c r="AV100" i="41" s="1"/>
  <c r="AV101" i="41" s="1"/>
  <c r="AU93" i="41"/>
  <c r="AU64" i="41"/>
  <c r="AU64" i="42" s="1"/>
  <c r="AU67" i="41"/>
  <c r="AU67" i="42" s="1"/>
  <c r="AU60" i="41"/>
  <c r="AV59" i="41"/>
  <c r="AV59" i="42" s="1"/>
  <c r="AU10" i="41"/>
  <c r="AV62" i="41"/>
  <c r="AS13" i="41"/>
  <c r="AV5" i="41"/>
  <c r="AU133" i="41"/>
  <c r="AU133" i="42" s="1"/>
  <c r="AT9" i="41"/>
  <c r="AS140" i="41"/>
  <c r="AS140" i="42" s="1"/>
  <c r="AI53" i="38"/>
  <c r="AU20" i="39"/>
  <c r="AV25" i="38"/>
  <c r="AV20" i="39"/>
  <c r="AJ53" i="38"/>
  <c r="AK53" i="38" s="1"/>
  <c r="AV47" i="39"/>
  <c r="AV47" i="46" s="1"/>
  <c r="AV29" i="39"/>
  <c r="AV29" i="46" s="1"/>
  <c r="AK14" i="44" l="1"/>
  <c r="AL14" i="43"/>
  <c r="AJ71" i="42"/>
  <c r="AJ72" i="41"/>
  <c r="AJ72" i="42" s="1"/>
  <c r="AI141" i="41"/>
  <c r="AI19" i="41"/>
  <c r="AJ15" i="42"/>
  <c r="AJ17" i="41"/>
  <c r="AJ137" i="41" s="1"/>
  <c r="AJ137" i="42" s="1"/>
  <c r="AJ105" i="42"/>
  <c r="AJ106" i="41"/>
  <c r="AJ106" i="42" s="1"/>
  <c r="AK7" i="46"/>
  <c r="AK66" i="41"/>
  <c r="AK99" i="41"/>
  <c r="AK127" i="41"/>
  <c r="AL7" i="45"/>
  <c r="AL7" i="46" s="1"/>
  <c r="W43" i="43"/>
  <c r="W43" i="44" s="1"/>
  <c r="W20" i="44"/>
  <c r="X25" i="41"/>
  <c r="X24" i="42"/>
  <c r="X29" i="41"/>
  <c r="AR35" i="46"/>
  <c r="AS35" i="45"/>
  <c r="AR37" i="45"/>
  <c r="AU8" i="42"/>
  <c r="AU25" i="45"/>
  <c r="AV25" i="45" s="1"/>
  <c r="AU12" i="45"/>
  <c r="AU12" i="46" s="1"/>
  <c r="AS12" i="46"/>
  <c r="AV10" i="41"/>
  <c r="AS25" i="46"/>
  <c r="AU140" i="41"/>
  <c r="AU140" i="42" s="1"/>
  <c r="AT9" i="42"/>
  <c r="AV8" i="41"/>
  <c r="AV8" i="42" s="1"/>
  <c r="AV5" i="42"/>
  <c r="AV63" i="41"/>
  <c r="AU9" i="41"/>
  <c r="AV60" i="41"/>
  <c r="AV94" i="41"/>
  <c r="AU13" i="41"/>
  <c r="AU13" i="42" s="1"/>
  <c r="AV67" i="41"/>
  <c r="AU11" i="41"/>
  <c r="AU11" i="42" s="1"/>
  <c r="AV64" i="41"/>
  <c r="AM53" i="38"/>
  <c r="AU22" i="43" l="1"/>
  <c r="AU9" i="43"/>
  <c r="X34" i="41"/>
  <c r="X29" i="42"/>
  <c r="AI142" i="41"/>
  <c r="X6" i="45"/>
  <c r="X25" i="42"/>
  <c r="X27" i="41"/>
  <c r="AK12" i="41"/>
  <c r="AK66" i="42"/>
  <c r="AK70" i="41"/>
  <c r="AL66" i="41"/>
  <c r="AL14" i="44"/>
  <c r="AM7" i="45"/>
  <c r="AM66" i="41" s="1"/>
  <c r="AK127" i="42"/>
  <c r="AK130" i="41"/>
  <c r="AL127" i="41"/>
  <c r="AJ19" i="41"/>
  <c r="AJ17" i="42"/>
  <c r="AJ141" i="41"/>
  <c r="AJ141" i="42" s="1"/>
  <c r="AK99" i="42"/>
  <c r="AK103" i="41"/>
  <c r="AL99" i="41"/>
  <c r="AV12" i="45"/>
  <c r="AV12" i="46" s="1"/>
  <c r="AV56" i="45"/>
  <c r="AV56" i="46" s="1"/>
  <c r="AV25" i="46"/>
  <c r="AU25" i="46"/>
  <c r="AS35" i="46"/>
  <c r="AT35" i="45"/>
  <c r="AS37" i="45"/>
  <c r="AV13" i="41"/>
  <c r="AV11" i="41"/>
  <c r="AV11" i="42" s="1"/>
  <c r="AV140" i="41"/>
  <c r="AV140" i="42" s="1"/>
  <c r="AV68" i="41"/>
  <c r="AV65" i="41"/>
  <c r="AV65" i="42" s="1"/>
  <c r="AV64" i="42"/>
  <c r="AV61" i="41"/>
  <c r="AV9" i="41"/>
  <c r="AN53" i="38"/>
  <c r="AU16" i="45" l="1"/>
  <c r="AV16" i="45" s="1"/>
  <c r="AV9" i="43"/>
  <c r="AU18" i="45"/>
  <c r="AV18" i="45" s="1"/>
  <c r="AV22" i="43"/>
  <c r="AV30" i="43" s="1"/>
  <c r="AV35" i="43" s="1"/>
  <c r="AU30" i="43"/>
  <c r="AU35" i="43" s="1"/>
  <c r="AM66" i="42"/>
  <c r="AM70" i="41"/>
  <c r="AL99" i="42"/>
  <c r="AL103" i="41"/>
  <c r="AL103" i="42" s="1"/>
  <c r="AK71" i="41"/>
  <c r="X22" i="45"/>
  <c r="X6" i="46"/>
  <c r="X38" i="43"/>
  <c r="AK105" i="41"/>
  <c r="AK103" i="42"/>
  <c r="AM99" i="41"/>
  <c r="AL66" i="42"/>
  <c r="AL70" i="41"/>
  <c r="AK12" i="42"/>
  <c r="AK15" i="41"/>
  <c r="AL12" i="41"/>
  <c r="AJ142" i="41"/>
  <c r="AJ142" i="42" s="1"/>
  <c r="AJ19" i="42"/>
  <c r="X27" i="42"/>
  <c r="X33" i="41"/>
  <c r="X32" i="41"/>
  <c r="X32" i="42" s="1"/>
  <c r="AL130" i="41"/>
  <c r="AL127" i="42"/>
  <c r="AK131" i="41"/>
  <c r="AK131" i="42" s="1"/>
  <c r="AK130" i="42"/>
  <c r="AM7" i="46"/>
  <c r="AM14" i="43"/>
  <c r="AM127" i="41"/>
  <c r="X147" i="41"/>
  <c r="X147" i="42" s="1"/>
  <c r="X34" i="42"/>
  <c r="AT35" i="46"/>
  <c r="AT37" i="45"/>
  <c r="AU35" i="45"/>
  <c r="AV35" i="45" s="1"/>
  <c r="AO53" i="38"/>
  <c r="AK105" i="42" l="1"/>
  <c r="AK106" i="41"/>
  <c r="AK106" i="42" s="1"/>
  <c r="AL105" i="41"/>
  <c r="AK72" i="41"/>
  <c r="AL71" i="41"/>
  <c r="AL130" i="42"/>
  <c r="AL131" i="41"/>
  <c r="AL131" i="42" s="1"/>
  <c r="X38" i="44"/>
  <c r="X41" i="43"/>
  <c r="AM99" i="42"/>
  <c r="AM103" i="41"/>
  <c r="X55" i="45"/>
  <c r="X22" i="46"/>
  <c r="X146" i="41"/>
  <c r="X146" i="42" s="1"/>
  <c r="X33" i="42"/>
  <c r="AM127" i="42"/>
  <c r="AM130" i="41"/>
  <c r="AL12" i="42"/>
  <c r="AL15" i="41"/>
  <c r="AM71" i="41"/>
  <c r="AN7" i="45"/>
  <c r="AM14" i="44"/>
  <c r="AK17" i="41"/>
  <c r="AM12" i="41"/>
  <c r="AV35" i="46"/>
  <c r="AV37" i="45"/>
  <c r="AU37" i="45"/>
  <c r="AU35" i="46"/>
  <c r="AP53" i="38"/>
  <c r="AR53" i="38" s="1"/>
  <c r="AK19" i="41" l="1"/>
  <c r="AK141" i="41"/>
  <c r="AN7" i="46"/>
  <c r="AN14" i="43"/>
  <c r="AM103" i="42"/>
  <c r="AM105" i="41"/>
  <c r="AL72" i="41"/>
  <c r="AM72" i="41"/>
  <c r="AK137" i="41"/>
  <c r="X41" i="44"/>
  <c r="X62" i="43"/>
  <c r="X62" i="44" s="1"/>
  <c r="X42" i="43"/>
  <c r="AN99" i="41"/>
  <c r="AL17" i="41"/>
  <c r="AM131" i="41"/>
  <c r="AM131" i="42" s="1"/>
  <c r="AM130" i="42"/>
  <c r="AN127" i="41"/>
  <c r="AL105" i="42"/>
  <c r="AL106" i="41"/>
  <c r="AL106" i="42" s="1"/>
  <c r="AM12" i="42"/>
  <c r="AM15" i="41"/>
  <c r="AN66" i="41"/>
  <c r="X55" i="46"/>
  <c r="X148" i="41"/>
  <c r="X148" i="42" s="1"/>
  <c r="AS53" i="38"/>
  <c r="AT53" i="38"/>
  <c r="AU53" i="38" s="1"/>
  <c r="AN66" i="42" l="1"/>
  <c r="AN12" i="41"/>
  <c r="AN70" i="41"/>
  <c r="AM17" i="41"/>
  <c r="AN99" i="42"/>
  <c r="AN103" i="41"/>
  <c r="AM105" i="42"/>
  <c r="AM106" i="41"/>
  <c r="AM106" i="42" s="1"/>
  <c r="AO7" i="45"/>
  <c r="AO127" i="41" s="1"/>
  <c r="AN14" i="44"/>
  <c r="X42" i="44"/>
  <c r="X7" i="43"/>
  <c r="X12" i="43"/>
  <c r="X12" i="44" s="1"/>
  <c r="X17" i="43"/>
  <c r="AL141" i="41"/>
  <c r="AL19" i="41"/>
  <c r="AN127" i="42"/>
  <c r="AN130" i="41"/>
  <c r="AK142" i="41"/>
  <c r="AR167" i="36"/>
  <c r="AR166" i="36"/>
  <c r="AR164" i="36"/>
  <c r="AM167" i="36"/>
  <c r="AM166" i="36"/>
  <c r="AM164" i="36"/>
  <c r="AH167" i="36"/>
  <c r="AH166" i="36"/>
  <c r="AH164" i="36"/>
  <c r="AC167" i="36"/>
  <c r="AC166" i="36"/>
  <c r="AC164" i="36"/>
  <c r="X164" i="36"/>
  <c r="X165" i="36"/>
  <c r="Y165" i="36" s="1"/>
  <c r="Z165" i="36" s="1"/>
  <c r="AA165" i="36" s="1"/>
  <c r="AC165" i="36" s="1"/>
  <c r="AD165" i="36" s="1"/>
  <c r="AE165" i="36" s="1"/>
  <c r="AF165" i="36" s="1"/>
  <c r="AH165" i="36" s="1"/>
  <c r="AI165" i="36" s="1"/>
  <c r="AJ165" i="36" s="1"/>
  <c r="AK165" i="36" s="1"/>
  <c r="AM165" i="36" s="1"/>
  <c r="AN165" i="36" s="1"/>
  <c r="AO165" i="36" s="1"/>
  <c r="AP165" i="36" s="1"/>
  <c r="AR165" i="36" s="1"/>
  <c r="AS165" i="36" s="1"/>
  <c r="AT165" i="36" s="1"/>
  <c r="AU165" i="36" s="1"/>
  <c r="X166" i="36"/>
  <c r="X167" i="36"/>
  <c r="V119" i="36"/>
  <c r="X119" i="36" s="1"/>
  <c r="Y119" i="36" s="1"/>
  <c r="Z119" i="36" s="1"/>
  <c r="AA119" i="36" s="1"/>
  <c r="AC119" i="36" s="1"/>
  <c r="AD119" i="36" s="1"/>
  <c r="AE119" i="36" s="1"/>
  <c r="AF119" i="36" s="1"/>
  <c r="AH119" i="36" s="1"/>
  <c r="AI119" i="36" s="1"/>
  <c r="AJ119" i="36" s="1"/>
  <c r="AK119" i="36" s="1"/>
  <c r="AM119" i="36" s="1"/>
  <c r="AN119" i="36" s="1"/>
  <c r="AO119" i="36" s="1"/>
  <c r="AP119" i="36" s="1"/>
  <c r="AR119" i="36" s="1"/>
  <c r="AS119" i="36" s="1"/>
  <c r="AT119" i="36" s="1"/>
  <c r="AU119" i="36" s="1"/>
  <c r="AU91" i="36"/>
  <c r="AT91" i="36"/>
  <c r="AS91" i="36"/>
  <c r="AR91" i="36"/>
  <c r="AP91" i="36"/>
  <c r="AO91" i="36"/>
  <c r="AN91" i="36"/>
  <c r="AM91" i="36"/>
  <c r="AK91" i="36"/>
  <c r="AJ91" i="36"/>
  <c r="AI91" i="36"/>
  <c r="AH91" i="36"/>
  <c r="AF91" i="36"/>
  <c r="AE91" i="36"/>
  <c r="AD91" i="36"/>
  <c r="AC91" i="36"/>
  <c r="AU58" i="36"/>
  <c r="AT58" i="36"/>
  <c r="AS58" i="36"/>
  <c r="AR58" i="36"/>
  <c r="AP58" i="36"/>
  <c r="AO58" i="36"/>
  <c r="AN58" i="36"/>
  <c r="AM58" i="36"/>
  <c r="AK58" i="36"/>
  <c r="AJ58" i="36"/>
  <c r="AI58" i="36"/>
  <c r="AH58" i="36"/>
  <c r="AF58" i="36"/>
  <c r="AE58" i="36"/>
  <c r="AD58" i="36"/>
  <c r="AC58" i="36"/>
  <c r="AV22" i="36"/>
  <c r="AV22" i="42" s="1"/>
  <c r="AQ22" i="36"/>
  <c r="AQ22" i="42" s="1"/>
  <c r="AL22" i="36"/>
  <c r="AL22" i="42" s="1"/>
  <c r="AG22" i="36"/>
  <c r="AO130" i="41" l="1"/>
  <c r="AO127" i="42"/>
  <c r="AN131" i="41"/>
  <c r="AN131" i="42" s="1"/>
  <c r="AN130" i="42"/>
  <c r="AL65" i="43"/>
  <c r="AL142" i="41"/>
  <c r="AO7" i="46"/>
  <c r="AO99" i="41"/>
  <c r="AM141" i="41"/>
  <c r="AM19" i="41"/>
  <c r="AM137" i="41"/>
  <c r="AO14" i="43"/>
  <c r="AN105" i="41"/>
  <c r="AN103" i="42"/>
  <c r="X26" i="45"/>
  <c r="X17" i="44"/>
  <c r="AN71" i="41"/>
  <c r="AN12" i="42"/>
  <c r="AN15" i="41"/>
  <c r="X7" i="44"/>
  <c r="X24" i="45"/>
  <c r="AO66" i="41"/>
  <c r="X129" i="36"/>
  <c r="X102" i="36"/>
  <c r="Y102" i="36" s="1"/>
  <c r="S152" i="36"/>
  <c r="S151" i="36"/>
  <c r="T151" i="36"/>
  <c r="T152" i="36"/>
  <c r="AN17" i="41" l="1"/>
  <c r="X24" i="46"/>
  <c r="X27" i="45"/>
  <c r="AL64" i="43"/>
  <c r="AM142" i="41"/>
  <c r="X26" i="46"/>
  <c r="AN106" i="41"/>
  <c r="AN106" i="42" s="1"/>
  <c r="AN105" i="42"/>
  <c r="AO12" i="41"/>
  <c r="AO66" i="42"/>
  <c r="AO70" i="41"/>
  <c r="AP7" i="45"/>
  <c r="AO14" i="44"/>
  <c r="AO99" i="42"/>
  <c r="AP99" i="41"/>
  <c r="AO103" i="41"/>
  <c r="AQ99" i="41"/>
  <c r="AN72" i="41"/>
  <c r="AN137" i="41"/>
  <c r="AO130" i="42"/>
  <c r="AO131" i="41"/>
  <c r="AO131" i="42" s="1"/>
  <c r="Z163" i="36"/>
  <c r="Y129" i="36"/>
  <c r="Z129" i="36" s="1"/>
  <c r="T154" i="36"/>
  <c r="S154" i="36"/>
  <c r="U172" i="36"/>
  <c r="U124" i="36"/>
  <c r="U116" i="36"/>
  <c r="U113" i="36"/>
  <c r="U111" i="36"/>
  <c r="U109" i="36"/>
  <c r="U96" i="36"/>
  <c r="U89" i="36"/>
  <c r="U63" i="36"/>
  <c r="U58" i="36"/>
  <c r="U56" i="36"/>
  <c r="T79" i="36"/>
  <c r="S79" i="36"/>
  <c r="Q79" i="36"/>
  <c r="P79" i="36"/>
  <c r="O79" i="36"/>
  <c r="N79" i="36"/>
  <c r="L79" i="36"/>
  <c r="K79" i="36"/>
  <c r="J79" i="36"/>
  <c r="I79" i="36"/>
  <c r="N76" i="36"/>
  <c r="N77" i="36" s="1"/>
  <c r="I76" i="36"/>
  <c r="I77" i="36" s="1"/>
  <c r="L76" i="36"/>
  <c r="L77" i="36" s="1"/>
  <c r="K76" i="36"/>
  <c r="K77" i="36" s="1"/>
  <c r="J76" i="36"/>
  <c r="J77" i="36" s="1"/>
  <c r="F76" i="36"/>
  <c r="F77" i="36" s="1"/>
  <c r="G76" i="36"/>
  <c r="G77" i="36" s="1"/>
  <c r="E76" i="36"/>
  <c r="E77" i="36" s="1"/>
  <c r="G43" i="36"/>
  <c r="G44" i="36" s="1"/>
  <c r="F43" i="36"/>
  <c r="F44" i="36" s="1"/>
  <c r="E43" i="36"/>
  <c r="E44" i="36" s="1"/>
  <c r="L43" i="36"/>
  <c r="L44" i="36" s="1"/>
  <c r="K43" i="36"/>
  <c r="K44" i="36" s="1"/>
  <c r="J43" i="36"/>
  <c r="J44" i="36" s="1"/>
  <c r="I43" i="36"/>
  <c r="I44" i="36" s="1"/>
  <c r="N43" i="36"/>
  <c r="N44" i="36" s="1"/>
  <c r="T46" i="36"/>
  <c r="S46" i="36"/>
  <c r="Q46" i="36"/>
  <c r="P46" i="36"/>
  <c r="O46" i="36"/>
  <c r="N46" i="36"/>
  <c r="J46" i="36"/>
  <c r="K46" i="36"/>
  <c r="L46" i="36"/>
  <c r="I46" i="36"/>
  <c r="AV154" i="36"/>
  <c r="AV117" i="36"/>
  <c r="AV20" i="36"/>
  <c r="T172" i="36"/>
  <c r="T171" i="36"/>
  <c r="S165" i="36"/>
  <c r="T124" i="36"/>
  <c r="S124" i="36"/>
  <c r="T116" i="36"/>
  <c r="S116" i="36"/>
  <c r="T113" i="36"/>
  <c r="S113" i="36"/>
  <c r="T111" i="36"/>
  <c r="S111" i="36"/>
  <c r="T109" i="36"/>
  <c r="S109" i="36"/>
  <c r="T96" i="36"/>
  <c r="S96" i="36"/>
  <c r="T89" i="36"/>
  <c r="S89" i="36"/>
  <c r="T63" i="36"/>
  <c r="S63" i="36"/>
  <c r="T56" i="36"/>
  <c r="S56" i="36"/>
  <c r="S70" i="36"/>
  <c r="V154" i="36"/>
  <c r="AO105" i="41" l="1"/>
  <c r="AO103" i="42"/>
  <c r="AP7" i="46"/>
  <c r="AQ7" i="45"/>
  <c r="AQ7" i="46" s="1"/>
  <c r="X27" i="46"/>
  <c r="X39" i="45"/>
  <c r="AQ99" i="42"/>
  <c r="AQ103" i="41"/>
  <c r="AQ103" i="42" s="1"/>
  <c r="AP14" i="43"/>
  <c r="AO71" i="41"/>
  <c r="AO70" i="42"/>
  <c r="AP99" i="42"/>
  <c r="AP103" i="41"/>
  <c r="AO12" i="42"/>
  <c r="AO15" i="41"/>
  <c r="AN141" i="41"/>
  <c r="AN19" i="41"/>
  <c r="AP66" i="41"/>
  <c r="AP127" i="41"/>
  <c r="AA163" i="36"/>
  <c r="AC163" i="36" s="1"/>
  <c r="Z102" i="36"/>
  <c r="AA102" i="36" s="1"/>
  <c r="W154" i="36"/>
  <c r="V34" i="39"/>
  <c r="W34" i="39" s="1"/>
  <c r="Q172" i="36"/>
  <c r="Q171" i="36"/>
  <c r="Q8" i="36"/>
  <c r="Q15" i="36"/>
  <c r="Q168" i="36"/>
  <c r="Q170" i="36" s="1"/>
  <c r="Q18" i="36" s="1"/>
  <c r="R5" i="36"/>
  <c r="R6" i="36"/>
  <c r="R7" i="36"/>
  <c r="R10" i="36"/>
  <c r="R11" i="36"/>
  <c r="R12" i="36"/>
  <c r="R13" i="36"/>
  <c r="R14" i="36"/>
  <c r="R9" i="36"/>
  <c r="R16" i="36"/>
  <c r="R20" i="36"/>
  <c r="R21" i="36"/>
  <c r="R22" i="36"/>
  <c r="R24" i="36"/>
  <c r="T26" i="36"/>
  <c r="V26" i="36" s="1"/>
  <c r="W26" i="36" s="1"/>
  <c r="O124" i="36"/>
  <c r="P124" i="36"/>
  <c r="Q124" i="36"/>
  <c r="Q116" i="36"/>
  <c r="Q113" i="36"/>
  <c r="Q111" i="36"/>
  <c r="Q109" i="36"/>
  <c r="Q103" i="36"/>
  <c r="Q96" i="36"/>
  <c r="Q89" i="36"/>
  <c r="Q63" i="36"/>
  <c r="Q56" i="36"/>
  <c r="P15" i="36"/>
  <c r="V55" i="36"/>
  <c r="AA55" i="36" s="1"/>
  <c r="AF55" i="36" s="1"/>
  <c r="AK55" i="36" s="1"/>
  <c r="AP55" i="36" s="1"/>
  <c r="AU55" i="36" s="1"/>
  <c r="V88" i="36"/>
  <c r="AA88" i="36" s="1"/>
  <c r="AF88" i="36" s="1"/>
  <c r="V108" i="36"/>
  <c r="AA108" i="36" s="1"/>
  <c r="AF108" i="36" s="1"/>
  <c r="AK108" i="36" s="1"/>
  <c r="AP108" i="36" s="1"/>
  <c r="AU108" i="36" s="1"/>
  <c r="Q59" i="36"/>
  <c r="Q61" i="36" s="1"/>
  <c r="Q70" i="36"/>
  <c r="R78" i="36"/>
  <c r="R87" i="36"/>
  <c r="R88" i="36"/>
  <c r="Q92" i="36"/>
  <c r="Q94" i="36" s="1"/>
  <c r="R93" i="36"/>
  <c r="R95" i="36"/>
  <c r="R97" i="36"/>
  <c r="R99" i="36"/>
  <c r="R100" i="36"/>
  <c r="R104" i="36"/>
  <c r="R108" i="36"/>
  <c r="R110" i="36"/>
  <c r="R112" i="36"/>
  <c r="R114" i="36"/>
  <c r="R115" i="36"/>
  <c r="Q118" i="36"/>
  <c r="Q120" i="36" s="1"/>
  <c r="R119" i="36"/>
  <c r="R123" i="36"/>
  <c r="R125" i="36"/>
  <c r="R126" i="36"/>
  <c r="R127" i="36"/>
  <c r="R128" i="36"/>
  <c r="R129" i="36"/>
  <c r="Q130" i="36"/>
  <c r="Q133" i="36"/>
  <c r="Q134" i="36"/>
  <c r="Q135" i="36"/>
  <c r="Q136" i="36"/>
  <c r="R26" i="36"/>
  <c r="O50" i="36"/>
  <c r="P50" i="36" s="1"/>
  <c r="P52" i="36" s="1"/>
  <c r="P53" i="36" s="1"/>
  <c r="O83" i="36"/>
  <c r="P83" i="36" s="1"/>
  <c r="D63" i="36"/>
  <c r="E63" i="36"/>
  <c r="F63" i="36"/>
  <c r="G63" i="36"/>
  <c r="N96" i="36"/>
  <c r="O96" i="36"/>
  <c r="P96" i="36"/>
  <c r="P59" i="36"/>
  <c r="N92" i="36"/>
  <c r="O92" i="36"/>
  <c r="O94" i="36" s="1"/>
  <c r="P92" i="36"/>
  <c r="P101" i="36" s="1"/>
  <c r="D59" i="36"/>
  <c r="D61" i="36" s="1"/>
  <c r="E59" i="36"/>
  <c r="E65" i="36" s="1"/>
  <c r="F59" i="36"/>
  <c r="F68" i="36" s="1"/>
  <c r="G59" i="36"/>
  <c r="G65" i="36" s="1"/>
  <c r="I59" i="36"/>
  <c r="I65" i="36" s="1"/>
  <c r="J59" i="36"/>
  <c r="J61" i="36" s="1"/>
  <c r="K59" i="36"/>
  <c r="K68" i="36" s="1"/>
  <c r="L59" i="36"/>
  <c r="L65" i="36" s="1"/>
  <c r="N59" i="36"/>
  <c r="N61" i="36" s="1"/>
  <c r="O59" i="36"/>
  <c r="O65" i="36" s="1"/>
  <c r="P116" i="36"/>
  <c r="P111" i="36"/>
  <c r="H8" i="36"/>
  <c r="H15" i="36"/>
  <c r="M5" i="36"/>
  <c r="M6" i="36"/>
  <c r="M7" i="36"/>
  <c r="M10" i="36"/>
  <c r="M11" i="36"/>
  <c r="M12" i="36"/>
  <c r="M13" i="36"/>
  <c r="M14" i="36"/>
  <c r="M9" i="36"/>
  <c r="M16" i="36"/>
  <c r="M21" i="36"/>
  <c r="M22" i="36"/>
  <c r="M20" i="36"/>
  <c r="M24" i="36"/>
  <c r="N8" i="36"/>
  <c r="N15" i="36"/>
  <c r="O8" i="36"/>
  <c r="O15" i="36"/>
  <c r="P8" i="36"/>
  <c r="I8" i="36"/>
  <c r="I15" i="36"/>
  <c r="J8" i="36"/>
  <c r="J15" i="36"/>
  <c r="K8" i="36"/>
  <c r="K15" i="36"/>
  <c r="P155" i="36"/>
  <c r="Q155" i="36"/>
  <c r="S50" i="36"/>
  <c r="S83" i="36"/>
  <c r="X88" i="36"/>
  <c r="AC88" i="36" s="1"/>
  <c r="I168" i="36"/>
  <c r="I170" i="36" s="1"/>
  <c r="I18" i="36" s="1"/>
  <c r="J168" i="36"/>
  <c r="J170" i="36" s="1"/>
  <c r="K163" i="36"/>
  <c r="L168" i="36"/>
  <c r="L170" i="36" s="1"/>
  <c r="L18" i="36" s="1"/>
  <c r="N168" i="36"/>
  <c r="N170" i="36" s="1"/>
  <c r="O168" i="36"/>
  <c r="O170" i="36" s="1"/>
  <c r="P168" i="36"/>
  <c r="P170" i="36" s="1"/>
  <c r="P18" i="36" s="1"/>
  <c r="L8" i="36"/>
  <c r="G9" i="36"/>
  <c r="L15" i="36"/>
  <c r="O41" i="36"/>
  <c r="O74" i="36"/>
  <c r="Z55" i="36"/>
  <c r="AE55" i="36" s="1"/>
  <c r="AJ55" i="36" s="1"/>
  <c r="AO55" i="36" s="1"/>
  <c r="AT55" i="36" s="1"/>
  <c r="Z88" i="36"/>
  <c r="AE88" i="36" s="1"/>
  <c r="Z108" i="36"/>
  <c r="AE108" i="36" s="1"/>
  <c r="AJ108" i="36" s="1"/>
  <c r="AO108" i="36" s="1"/>
  <c r="AT108" i="36" s="1"/>
  <c r="X55" i="36"/>
  <c r="AC55" i="36" s="1"/>
  <c r="AH55" i="36" s="1"/>
  <c r="AM55" i="36" s="1"/>
  <c r="AR55" i="36" s="1"/>
  <c r="X108" i="36"/>
  <c r="AC108" i="36" s="1"/>
  <c r="Y55" i="36"/>
  <c r="AD55" i="36" s="1"/>
  <c r="AI55" i="36" s="1"/>
  <c r="AN55" i="36" s="1"/>
  <c r="AS55" i="36" s="1"/>
  <c r="W20" i="36"/>
  <c r="AB20" i="36"/>
  <c r="AG20" i="36"/>
  <c r="AL20" i="36"/>
  <c r="AQ20" i="36"/>
  <c r="G5" i="36"/>
  <c r="G6" i="36"/>
  <c r="G134" i="36" s="1"/>
  <c r="G7" i="36"/>
  <c r="G135" i="36" s="1"/>
  <c r="F8" i="36"/>
  <c r="E8" i="36"/>
  <c r="D8" i="36"/>
  <c r="G10" i="36"/>
  <c r="G11" i="36"/>
  <c r="G12" i="36"/>
  <c r="G13" i="36"/>
  <c r="G14" i="36"/>
  <c r="G16" i="36"/>
  <c r="G136" i="36" s="1"/>
  <c r="G21" i="36"/>
  <c r="G144" i="36" s="1"/>
  <c r="G22" i="36"/>
  <c r="G145" i="36" s="1"/>
  <c r="G20" i="36"/>
  <c r="G24" i="36"/>
  <c r="F15" i="36"/>
  <c r="E15" i="36"/>
  <c r="D15" i="36"/>
  <c r="M26" i="36"/>
  <c r="P172" i="36"/>
  <c r="P28" i="36" s="1"/>
  <c r="O172" i="36"/>
  <c r="O28" i="36" s="1"/>
  <c r="N172" i="36"/>
  <c r="N28" i="36" s="1"/>
  <c r="K172" i="36"/>
  <c r="K28" i="36" s="1"/>
  <c r="G163" i="36"/>
  <c r="G165" i="36"/>
  <c r="F168" i="36"/>
  <c r="E168" i="36"/>
  <c r="E170" i="36" s="1"/>
  <c r="D163" i="36"/>
  <c r="D164" i="36"/>
  <c r="D165" i="36"/>
  <c r="F171" i="36"/>
  <c r="E171" i="36"/>
  <c r="H166" i="36"/>
  <c r="H167" i="36"/>
  <c r="F161" i="36"/>
  <c r="E161" i="36"/>
  <c r="E158" i="36"/>
  <c r="D157" i="36"/>
  <c r="N155" i="36"/>
  <c r="O155" i="36"/>
  <c r="I155" i="36"/>
  <c r="J155" i="36"/>
  <c r="K155" i="36"/>
  <c r="L155" i="36"/>
  <c r="E155" i="36"/>
  <c r="F154" i="36"/>
  <c r="G155" i="36"/>
  <c r="AQ154" i="36"/>
  <c r="AL154" i="36"/>
  <c r="AL154" i="42" s="1"/>
  <c r="AG154" i="36"/>
  <c r="AB154" i="36"/>
  <c r="R154" i="36"/>
  <c r="M154" i="36"/>
  <c r="I28" i="36"/>
  <c r="J28" i="36"/>
  <c r="L28" i="36"/>
  <c r="D28" i="36"/>
  <c r="G28" i="36"/>
  <c r="G26" i="36"/>
  <c r="P70" i="36"/>
  <c r="P103" i="36"/>
  <c r="P118" i="36"/>
  <c r="P120" i="36" s="1"/>
  <c r="P130" i="36"/>
  <c r="P131" i="36" s="1"/>
  <c r="O70" i="36"/>
  <c r="O103" i="36"/>
  <c r="O118" i="36"/>
  <c r="O120" i="36" s="1"/>
  <c r="O130" i="36"/>
  <c r="O131" i="36" s="1"/>
  <c r="N70" i="36"/>
  <c r="N103" i="36"/>
  <c r="N118" i="36"/>
  <c r="N130" i="36"/>
  <c r="N131" i="36" s="1"/>
  <c r="L70" i="36"/>
  <c r="L92" i="36"/>
  <c r="L101" i="36" s="1"/>
  <c r="L103" i="36"/>
  <c r="L118" i="36"/>
  <c r="L130" i="36"/>
  <c r="K70" i="36"/>
  <c r="K92" i="36"/>
  <c r="K101" i="36" s="1"/>
  <c r="K103" i="36"/>
  <c r="K118" i="36"/>
  <c r="K120" i="36" s="1"/>
  <c r="K121" i="36" s="1"/>
  <c r="K130" i="36"/>
  <c r="J70" i="36"/>
  <c r="J92" i="36"/>
  <c r="J103" i="36"/>
  <c r="J118" i="36"/>
  <c r="J120" i="36" s="1"/>
  <c r="J121" i="36" s="1"/>
  <c r="J130" i="36"/>
  <c r="I70" i="36"/>
  <c r="I92" i="36"/>
  <c r="I94" i="36" s="1"/>
  <c r="I103" i="36"/>
  <c r="I118" i="36"/>
  <c r="I130" i="36"/>
  <c r="I131" i="36" s="1"/>
  <c r="G70" i="36"/>
  <c r="G92" i="36"/>
  <c r="G98" i="36" s="1"/>
  <c r="G103" i="36"/>
  <c r="G118" i="36"/>
  <c r="G120" i="36" s="1"/>
  <c r="G126" i="36"/>
  <c r="G130" i="36" s="1"/>
  <c r="F70" i="36"/>
  <c r="F92" i="36"/>
  <c r="F101" i="36" s="1"/>
  <c r="F103" i="36"/>
  <c r="F118" i="36"/>
  <c r="F130" i="36"/>
  <c r="E70" i="36"/>
  <c r="E92" i="36"/>
  <c r="E98" i="36" s="1"/>
  <c r="E103" i="36"/>
  <c r="E118" i="36"/>
  <c r="E120" i="36" s="1"/>
  <c r="E121" i="36" s="1"/>
  <c r="E130" i="36"/>
  <c r="E131" i="36" s="1"/>
  <c r="D70" i="36"/>
  <c r="D92" i="36"/>
  <c r="D101" i="36" s="1"/>
  <c r="D103" i="36"/>
  <c r="D118" i="36"/>
  <c r="D120" i="36" s="1"/>
  <c r="D121" i="36" s="1"/>
  <c r="D130" i="36"/>
  <c r="P136" i="36"/>
  <c r="O136" i="36"/>
  <c r="N136" i="36"/>
  <c r="L136" i="36"/>
  <c r="K136" i="36"/>
  <c r="J136" i="36"/>
  <c r="I136" i="36"/>
  <c r="F136" i="36"/>
  <c r="E136" i="36"/>
  <c r="D136" i="36"/>
  <c r="P135" i="36"/>
  <c r="O135" i="36"/>
  <c r="N135" i="36"/>
  <c r="L135" i="36"/>
  <c r="K135" i="36"/>
  <c r="J135" i="36"/>
  <c r="I135" i="36"/>
  <c r="F135" i="36"/>
  <c r="E135" i="36"/>
  <c r="D135" i="36"/>
  <c r="P134" i="36"/>
  <c r="O134" i="36"/>
  <c r="N134" i="36"/>
  <c r="L134" i="36"/>
  <c r="K134" i="36"/>
  <c r="J134" i="36"/>
  <c r="I134" i="36"/>
  <c r="F134" i="36"/>
  <c r="E134" i="36"/>
  <c r="D134" i="36"/>
  <c r="P133" i="36"/>
  <c r="O133" i="36"/>
  <c r="N133" i="36"/>
  <c r="L133" i="36"/>
  <c r="K133" i="36"/>
  <c r="J133" i="36"/>
  <c r="I133" i="36"/>
  <c r="F133" i="36"/>
  <c r="E133" i="36"/>
  <c r="D133" i="36"/>
  <c r="M123" i="36"/>
  <c r="M125" i="36"/>
  <c r="M126" i="36"/>
  <c r="M127" i="36"/>
  <c r="M128" i="36"/>
  <c r="M129" i="36"/>
  <c r="N124" i="36"/>
  <c r="H123" i="36"/>
  <c r="L124" i="36"/>
  <c r="K124" i="36"/>
  <c r="J124" i="36"/>
  <c r="I124" i="36"/>
  <c r="AQ117" i="36"/>
  <c r="AL117" i="36"/>
  <c r="AG117" i="36"/>
  <c r="AB117" i="36"/>
  <c r="W117" i="36"/>
  <c r="R117" i="36"/>
  <c r="M108" i="36"/>
  <c r="M110" i="36"/>
  <c r="M112" i="36"/>
  <c r="M114" i="36"/>
  <c r="M115" i="36"/>
  <c r="M117" i="36"/>
  <c r="M119" i="36"/>
  <c r="H108" i="36"/>
  <c r="H110" i="36"/>
  <c r="H112" i="36"/>
  <c r="H114" i="36"/>
  <c r="H115" i="36"/>
  <c r="H117" i="36"/>
  <c r="H119" i="36"/>
  <c r="O116" i="36"/>
  <c r="N116" i="36"/>
  <c r="L116" i="36"/>
  <c r="K116" i="36"/>
  <c r="J116" i="36"/>
  <c r="I116" i="36"/>
  <c r="G116" i="36"/>
  <c r="F116" i="36"/>
  <c r="E116" i="36"/>
  <c r="D116" i="36"/>
  <c r="P113" i="36"/>
  <c r="O113" i="36"/>
  <c r="N113" i="36"/>
  <c r="L113" i="36"/>
  <c r="K113" i="36"/>
  <c r="J113" i="36"/>
  <c r="I113" i="36"/>
  <c r="G113" i="36"/>
  <c r="F113" i="36"/>
  <c r="E113" i="36"/>
  <c r="D113" i="36"/>
  <c r="O111" i="36"/>
  <c r="N111" i="36"/>
  <c r="L111" i="36"/>
  <c r="K111" i="36"/>
  <c r="J111" i="36"/>
  <c r="I111" i="36"/>
  <c r="G111" i="36"/>
  <c r="F111" i="36"/>
  <c r="E111" i="36"/>
  <c r="D111" i="36"/>
  <c r="P109" i="36"/>
  <c r="O109" i="36"/>
  <c r="N109" i="36"/>
  <c r="L109" i="36"/>
  <c r="K109" i="36"/>
  <c r="J109" i="36"/>
  <c r="I109" i="36"/>
  <c r="M104" i="36"/>
  <c r="H104" i="36"/>
  <c r="W102" i="36"/>
  <c r="R102" i="36"/>
  <c r="M93" i="36"/>
  <c r="M95" i="36"/>
  <c r="M97" i="36"/>
  <c r="M99" i="36"/>
  <c r="M100" i="36"/>
  <c r="M102" i="36"/>
  <c r="H93" i="36"/>
  <c r="H95" i="36"/>
  <c r="H97" i="36"/>
  <c r="H99" i="36"/>
  <c r="H100" i="36"/>
  <c r="H102" i="36"/>
  <c r="M78" i="36"/>
  <c r="L96" i="36"/>
  <c r="K96" i="36"/>
  <c r="J96" i="36"/>
  <c r="I96" i="36"/>
  <c r="H78" i="36"/>
  <c r="G96" i="36"/>
  <c r="F96" i="36"/>
  <c r="E96" i="36"/>
  <c r="D96" i="36"/>
  <c r="W84" i="36"/>
  <c r="W75" i="36"/>
  <c r="V91" i="36"/>
  <c r="U91" i="36"/>
  <c r="T91" i="36"/>
  <c r="S91" i="36"/>
  <c r="R84" i="36"/>
  <c r="R75" i="36"/>
  <c r="Q91" i="36"/>
  <c r="P91" i="36"/>
  <c r="O91" i="36"/>
  <c r="N91" i="36"/>
  <c r="I84" i="36"/>
  <c r="J84" i="36"/>
  <c r="K84" i="36"/>
  <c r="I75" i="36"/>
  <c r="J75" i="36"/>
  <c r="K75" i="36"/>
  <c r="L75" i="36"/>
  <c r="D84" i="36"/>
  <c r="E84" i="36"/>
  <c r="F84" i="36"/>
  <c r="G84" i="36"/>
  <c r="D75" i="36"/>
  <c r="E75" i="36"/>
  <c r="F75" i="36"/>
  <c r="G75" i="36"/>
  <c r="N90" i="36"/>
  <c r="L90" i="36"/>
  <c r="K90" i="36"/>
  <c r="J90" i="36"/>
  <c r="I90" i="36"/>
  <c r="G90" i="36"/>
  <c r="F90" i="36"/>
  <c r="E90" i="36"/>
  <c r="D90" i="36"/>
  <c r="P89" i="36"/>
  <c r="O89" i="36"/>
  <c r="N89" i="36"/>
  <c r="L89" i="36"/>
  <c r="K89" i="36"/>
  <c r="J89" i="36"/>
  <c r="I89" i="36"/>
  <c r="M88" i="36"/>
  <c r="H88" i="36"/>
  <c r="M87" i="36"/>
  <c r="H87" i="36"/>
  <c r="N85" i="36"/>
  <c r="L85" i="36"/>
  <c r="K85" i="36"/>
  <c r="K86" i="36" s="1"/>
  <c r="J85" i="36"/>
  <c r="I85" i="36"/>
  <c r="G85" i="36"/>
  <c r="F85" i="36"/>
  <c r="F86" i="36" s="1"/>
  <c r="E85" i="36"/>
  <c r="D85" i="36"/>
  <c r="R83" i="36"/>
  <c r="M83" i="36"/>
  <c r="H83" i="36"/>
  <c r="M74" i="36"/>
  <c r="H74" i="36"/>
  <c r="AB69" i="36"/>
  <c r="W69" i="36"/>
  <c r="H70" i="36"/>
  <c r="P63" i="36"/>
  <c r="O63" i="36"/>
  <c r="N63" i="36"/>
  <c r="L63" i="36"/>
  <c r="K63" i="36"/>
  <c r="J63" i="36"/>
  <c r="I63" i="36"/>
  <c r="S58" i="36"/>
  <c r="Q58" i="36"/>
  <c r="P58" i="36"/>
  <c r="O58" i="36"/>
  <c r="N58" i="36"/>
  <c r="I51" i="36"/>
  <c r="J51" i="36"/>
  <c r="K51" i="36"/>
  <c r="I42" i="36"/>
  <c r="J42" i="36"/>
  <c r="K42" i="36"/>
  <c r="L42" i="36"/>
  <c r="D51" i="36"/>
  <c r="E51" i="36"/>
  <c r="F51" i="36"/>
  <c r="G51" i="36"/>
  <c r="D42" i="36"/>
  <c r="E42" i="36"/>
  <c r="F42" i="36"/>
  <c r="G42" i="36"/>
  <c r="N57" i="36"/>
  <c r="L57" i="36"/>
  <c r="K57" i="36"/>
  <c r="J57" i="36"/>
  <c r="I57" i="36"/>
  <c r="G57" i="36"/>
  <c r="F57" i="36"/>
  <c r="E57" i="36"/>
  <c r="D57" i="36"/>
  <c r="P56" i="36"/>
  <c r="O56" i="36"/>
  <c r="N56" i="36"/>
  <c r="L56" i="36"/>
  <c r="K56" i="36"/>
  <c r="J56" i="36"/>
  <c r="I56" i="36"/>
  <c r="N52" i="36"/>
  <c r="N53" i="36" s="1"/>
  <c r="L52" i="36"/>
  <c r="K52" i="36"/>
  <c r="J52" i="36"/>
  <c r="J53" i="36" s="1"/>
  <c r="I52" i="36"/>
  <c r="I53" i="36" s="1"/>
  <c r="G52" i="36"/>
  <c r="F52" i="36"/>
  <c r="E52" i="36"/>
  <c r="E53" i="36" s="1"/>
  <c r="D52" i="36"/>
  <c r="D53" i="36" s="1"/>
  <c r="H45" i="36"/>
  <c r="L35" i="36"/>
  <c r="H35" i="36"/>
  <c r="AO15" i="42" l="1"/>
  <c r="AO17" i="41"/>
  <c r="AP103" i="42"/>
  <c r="AP105" i="41"/>
  <c r="AO71" i="42"/>
  <c r="AO72" i="41"/>
  <c r="AO72" i="42" s="1"/>
  <c r="AO137" i="41"/>
  <c r="AO137" i="42" s="1"/>
  <c r="AP14" i="44"/>
  <c r="AQ14" i="43"/>
  <c r="AQ127" i="41"/>
  <c r="AP130" i="41"/>
  <c r="AP127" i="42"/>
  <c r="AQ66" i="41"/>
  <c r="AP12" i="41"/>
  <c r="AP66" i="42"/>
  <c r="AP70" i="41"/>
  <c r="X39" i="46"/>
  <c r="X41" i="45"/>
  <c r="AN142" i="41"/>
  <c r="AO105" i="42"/>
  <c r="AO106" i="41"/>
  <c r="AO106" i="42" s="1"/>
  <c r="AQ105" i="41"/>
  <c r="AD163" i="36"/>
  <c r="AE163" i="36" s="1"/>
  <c r="AF163" i="36" s="1"/>
  <c r="AH163" i="36" s="1"/>
  <c r="AC102" i="36"/>
  <c r="AD102" i="36" s="1"/>
  <c r="AE102" i="36" s="1"/>
  <c r="AF102" i="36" s="1"/>
  <c r="AA129" i="36"/>
  <c r="AC129" i="36" s="1"/>
  <c r="AD129" i="36" s="1"/>
  <c r="AE129" i="36" s="1"/>
  <c r="AF129" i="36" s="1"/>
  <c r="AB102" i="36"/>
  <c r="G152" i="36"/>
  <c r="G151" i="36"/>
  <c r="E151" i="36"/>
  <c r="E152" i="36"/>
  <c r="K151" i="36"/>
  <c r="K152" i="36"/>
  <c r="J152" i="36"/>
  <c r="J151" i="36"/>
  <c r="I151" i="36"/>
  <c r="I152" i="36"/>
  <c r="O53" i="39"/>
  <c r="O56" i="39"/>
  <c r="N53" i="39"/>
  <c r="N56" i="39"/>
  <c r="H56" i="39"/>
  <c r="H53" i="39"/>
  <c r="D53" i="39"/>
  <c r="D56" i="39"/>
  <c r="N35" i="36"/>
  <c r="R35" i="36" s="1"/>
  <c r="E53" i="39"/>
  <c r="E56" i="39"/>
  <c r="F56" i="39"/>
  <c r="F53" i="39"/>
  <c r="K56" i="39"/>
  <c r="K53" i="39"/>
  <c r="L56" i="39"/>
  <c r="L53" i="39"/>
  <c r="J56" i="39"/>
  <c r="J53" i="39"/>
  <c r="Q53" i="39"/>
  <c r="Q56" i="39"/>
  <c r="I56" i="39"/>
  <c r="I53" i="39"/>
  <c r="P53" i="39"/>
  <c r="P56" i="39"/>
  <c r="AH108" i="36"/>
  <c r="AM108" i="36" s="1"/>
  <c r="AR108" i="36" s="1"/>
  <c r="AH88" i="36"/>
  <c r="AJ88" i="36"/>
  <c r="AK88" i="36"/>
  <c r="Q151" i="36"/>
  <c r="Q152" i="36"/>
  <c r="P151" i="36"/>
  <c r="P152" i="36"/>
  <c r="O151" i="36"/>
  <c r="O152" i="36"/>
  <c r="N152" i="36"/>
  <c r="N151" i="36"/>
  <c r="L152" i="36"/>
  <c r="L151" i="36"/>
  <c r="L94" i="36"/>
  <c r="P74" i="36"/>
  <c r="Q74" i="36" s="1"/>
  <c r="O76" i="36"/>
  <c r="O77" i="36" s="1"/>
  <c r="K65" i="36"/>
  <c r="O85" i="36"/>
  <c r="O86" i="36" s="1"/>
  <c r="O43" i="36"/>
  <c r="O44" i="36" s="1"/>
  <c r="L98" i="36"/>
  <c r="F65" i="36"/>
  <c r="K105" i="36"/>
  <c r="K106" i="36" s="1"/>
  <c r="E71" i="36"/>
  <c r="E72" i="36" s="1"/>
  <c r="D98" i="36"/>
  <c r="D94" i="36"/>
  <c r="M35" i="36"/>
  <c r="O52" i="36"/>
  <c r="O53" i="36" s="1"/>
  <c r="J65" i="36"/>
  <c r="O57" i="36"/>
  <c r="K91" i="36"/>
  <c r="J140" i="36"/>
  <c r="I91" i="36"/>
  <c r="E101" i="36"/>
  <c r="Q85" i="36"/>
  <c r="Q86" i="36" s="1"/>
  <c r="V86" i="36" s="1"/>
  <c r="AA86" i="36" s="1"/>
  <c r="AF86" i="36" s="1"/>
  <c r="AK86" i="36" s="1"/>
  <c r="AP86" i="36" s="1"/>
  <c r="AU86" i="36" s="1"/>
  <c r="P85" i="36"/>
  <c r="P86" i="36" s="1"/>
  <c r="E58" i="36"/>
  <c r="O90" i="36"/>
  <c r="M113" i="36"/>
  <c r="D71" i="36"/>
  <c r="D72" i="36" s="1"/>
  <c r="O140" i="36"/>
  <c r="N140" i="36"/>
  <c r="D65" i="36"/>
  <c r="F17" i="36"/>
  <c r="F141" i="36" s="1"/>
  <c r="V123" i="36"/>
  <c r="V7" i="36" s="1"/>
  <c r="V135" i="36" s="1"/>
  <c r="D68" i="36"/>
  <c r="Q71" i="36"/>
  <c r="Q72" i="36" s="1"/>
  <c r="Q17" i="36"/>
  <c r="Q141" i="36" s="1"/>
  <c r="N65" i="36"/>
  <c r="F94" i="36"/>
  <c r="F98" i="36"/>
  <c r="K98" i="36"/>
  <c r="I140" i="36"/>
  <c r="K140" i="36"/>
  <c r="L71" i="36"/>
  <c r="L72" i="36" s="1"/>
  <c r="G168" i="36"/>
  <c r="G170" i="36" s="1"/>
  <c r="R96" i="36"/>
  <c r="F58" i="36"/>
  <c r="P140" i="36"/>
  <c r="K94" i="36"/>
  <c r="J71" i="36"/>
  <c r="J72" i="36" s="1"/>
  <c r="R8" i="36"/>
  <c r="E173" i="36"/>
  <c r="E18" i="36"/>
  <c r="M155" i="36"/>
  <c r="P71" i="36"/>
  <c r="P72" i="36" s="1"/>
  <c r="R155" i="36"/>
  <c r="M84" i="36"/>
  <c r="K58" i="36"/>
  <c r="J58" i="36"/>
  <c r="D91" i="36"/>
  <c r="H165" i="36"/>
  <c r="N105" i="36"/>
  <c r="N106" i="36" s="1"/>
  <c r="P61" i="36"/>
  <c r="N17" i="36"/>
  <c r="N141" i="36" s="1"/>
  <c r="Q28" i="36"/>
  <c r="R28" i="36" s="1"/>
  <c r="O17" i="36"/>
  <c r="O141" i="36" s="1"/>
  <c r="F61" i="36"/>
  <c r="K17" i="36"/>
  <c r="K141" i="36" s="1"/>
  <c r="H111" i="36"/>
  <c r="H113" i="36"/>
  <c r="H59" i="36"/>
  <c r="P98" i="36"/>
  <c r="M109" i="36"/>
  <c r="M8" i="36"/>
  <c r="H116" i="36"/>
  <c r="G101" i="36"/>
  <c r="Q105" i="36"/>
  <c r="Q106" i="36" s="1"/>
  <c r="H92" i="36"/>
  <c r="H98" i="36" s="1"/>
  <c r="M15" i="36"/>
  <c r="G94" i="36"/>
  <c r="E17" i="36"/>
  <c r="E23" i="36" s="1"/>
  <c r="R15" i="36"/>
  <c r="H51" i="36"/>
  <c r="E86" i="36"/>
  <c r="M124" i="36"/>
  <c r="F105" i="36"/>
  <c r="L120" i="36"/>
  <c r="D17" i="36"/>
  <c r="P41" i="36"/>
  <c r="G15" i="36"/>
  <c r="E94" i="36"/>
  <c r="R109" i="36"/>
  <c r="F53" i="36"/>
  <c r="H84" i="36"/>
  <c r="I101" i="36"/>
  <c r="F71" i="36"/>
  <c r="I120" i="36"/>
  <c r="O105" i="36"/>
  <c r="L173" i="36"/>
  <c r="G86" i="36"/>
  <c r="J101" i="36"/>
  <c r="M116" i="36"/>
  <c r="O121" i="36"/>
  <c r="M130" i="36"/>
  <c r="H154" i="36"/>
  <c r="G53" i="36"/>
  <c r="I58" i="36"/>
  <c r="P121" i="36"/>
  <c r="I105" i="36"/>
  <c r="K131" i="36"/>
  <c r="O71" i="36"/>
  <c r="M28" i="36"/>
  <c r="F170" i="36"/>
  <c r="N173" i="36"/>
  <c r="W55" i="36"/>
  <c r="D58" i="36"/>
  <c r="I86" i="36"/>
  <c r="M92" i="36"/>
  <c r="M98" i="36" s="1"/>
  <c r="E105" i="36"/>
  <c r="G131" i="36"/>
  <c r="G8" i="36"/>
  <c r="Q140" i="36"/>
  <c r="S85" i="36"/>
  <c r="S86" i="36" s="1"/>
  <c r="T83" i="36"/>
  <c r="J94" i="36"/>
  <c r="H103" i="36"/>
  <c r="H164" i="36"/>
  <c r="AB55" i="36"/>
  <c r="Y108" i="36"/>
  <c r="AD108" i="36" s="1"/>
  <c r="AI108" i="36" s="1"/>
  <c r="AN108" i="36" s="1"/>
  <c r="AS108" i="36" s="1"/>
  <c r="L58" i="36"/>
  <c r="J86" i="36"/>
  <c r="D131" i="36"/>
  <c r="I71" i="36"/>
  <c r="N120" i="36"/>
  <c r="H163" i="36"/>
  <c r="O173" i="36"/>
  <c r="G58" i="36"/>
  <c r="J91" i="36"/>
  <c r="I61" i="36"/>
  <c r="I68" i="36"/>
  <c r="E91" i="36"/>
  <c r="I98" i="36"/>
  <c r="G121" i="36"/>
  <c r="R124" i="36"/>
  <c r="O18" i="36"/>
  <c r="G61" i="36"/>
  <c r="G68" i="36"/>
  <c r="K53" i="36"/>
  <c r="H42" i="36"/>
  <c r="F91" i="36"/>
  <c r="L91" i="36"/>
  <c r="J98" i="36"/>
  <c r="M111" i="36"/>
  <c r="G105" i="36"/>
  <c r="J131" i="36"/>
  <c r="P105" i="36"/>
  <c r="N18" i="36"/>
  <c r="P173" i="36"/>
  <c r="L17" i="36"/>
  <c r="G91" i="36"/>
  <c r="M75" i="36"/>
  <c r="M118" i="36"/>
  <c r="D105" i="36"/>
  <c r="F131" i="36"/>
  <c r="K71" i="36"/>
  <c r="N71" i="36"/>
  <c r="F28" i="36"/>
  <c r="I173" i="36"/>
  <c r="E28" i="36"/>
  <c r="D168" i="36"/>
  <c r="J17" i="36"/>
  <c r="D86" i="36"/>
  <c r="H75" i="36"/>
  <c r="H96" i="36"/>
  <c r="H118" i="36"/>
  <c r="G133" i="36"/>
  <c r="F120" i="36"/>
  <c r="G71" i="36"/>
  <c r="L131" i="36"/>
  <c r="J18" i="36"/>
  <c r="F155" i="36"/>
  <c r="D158" i="36"/>
  <c r="J173" i="36"/>
  <c r="K168" i="36"/>
  <c r="J105" i="36"/>
  <c r="E61" i="36"/>
  <c r="O101" i="36"/>
  <c r="I17" i="36"/>
  <c r="H17" i="36"/>
  <c r="P94" i="36"/>
  <c r="N101" i="36"/>
  <c r="O98" i="36"/>
  <c r="P68" i="36"/>
  <c r="E68" i="36"/>
  <c r="Q52" i="36"/>
  <c r="Q53" i="36" s="1"/>
  <c r="V53" i="36" s="1"/>
  <c r="W88" i="36"/>
  <c r="N94" i="36"/>
  <c r="O68" i="36"/>
  <c r="N98" i="36"/>
  <c r="O61" i="36"/>
  <c r="N68" i="36"/>
  <c r="P65" i="36"/>
  <c r="Y88" i="36"/>
  <c r="P17" i="36"/>
  <c r="K61" i="36"/>
  <c r="J68" i="36"/>
  <c r="X26" i="36"/>
  <c r="Q173" i="36"/>
  <c r="T136" i="36"/>
  <c r="W108" i="36"/>
  <c r="W91" i="36"/>
  <c r="R91" i="36"/>
  <c r="L86" i="36"/>
  <c r="N86" i="36"/>
  <c r="W51" i="36"/>
  <c r="S52" i="36"/>
  <c r="S53" i="36" s="1"/>
  <c r="T50" i="36"/>
  <c r="T52" i="36" s="1"/>
  <c r="T53" i="36" s="1"/>
  <c r="Y53" i="36" s="1"/>
  <c r="L53" i="36"/>
  <c r="S168" i="36"/>
  <c r="R130" i="36"/>
  <c r="Q131" i="36"/>
  <c r="R116" i="36"/>
  <c r="R113" i="36"/>
  <c r="R118" i="36"/>
  <c r="R120" i="36" s="1"/>
  <c r="R111" i="36"/>
  <c r="Q121" i="36"/>
  <c r="R103" i="36"/>
  <c r="R92" i="36"/>
  <c r="Q98" i="36"/>
  <c r="Q101" i="36"/>
  <c r="M96" i="36"/>
  <c r="M103" i="36"/>
  <c r="L105" i="36"/>
  <c r="Q65" i="36"/>
  <c r="Q68" i="36"/>
  <c r="L61" i="36"/>
  <c r="L68" i="36"/>
  <c r="AP131" i="41" l="1"/>
  <c r="AP131" i="42" s="1"/>
  <c r="AP130" i="42"/>
  <c r="AQ105" i="42"/>
  <c r="AQ106" i="41"/>
  <c r="AQ106" i="42" s="1"/>
  <c r="AQ130" i="41"/>
  <c r="AQ127" i="42"/>
  <c r="AR7" i="45"/>
  <c r="AQ14" i="44"/>
  <c r="AQ66" i="42"/>
  <c r="AQ70" i="41"/>
  <c r="X6" i="43"/>
  <c r="X41" i="46"/>
  <c r="Y40" i="45"/>
  <c r="AP71" i="41"/>
  <c r="AP105" i="42"/>
  <c r="AP106" i="41"/>
  <c r="AP106" i="42" s="1"/>
  <c r="AO17" i="42"/>
  <c r="AO141" i="41"/>
  <c r="AO141" i="42" s="1"/>
  <c r="AO19" i="41"/>
  <c r="AP12" i="42"/>
  <c r="AP15" i="41"/>
  <c r="AQ12" i="41"/>
  <c r="AG69" i="36"/>
  <c r="AI163" i="36"/>
  <c r="AJ163" i="36" s="1"/>
  <c r="AK163" i="36" s="1"/>
  <c r="AM163" i="36" s="1"/>
  <c r="AH129" i="36"/>
  <c r="AI129" i="36" s="1"/>
  <c r="AJ129" i="36" s="1"/>
  <c r="AK129" i="36" s="1"/>
  <c r="AH102" i="36"/>
  <c r="AI102" i="36" s="1"/>
  <c r="AJ102" i="36" s="1"/>
  <c r="AK102" i="36" s="1"/>
  <c r="X86" i="36"/>
  <c r="AC86" i="36" s="1"/>
  <c r="AH86" i="36" s="1"/>
  <c r="AM86" i="36" s="1"/>
  <c r="AR86" i="36" s="1"/>
  <c r="R82" i="36"/>
  <c r="AD53" i="36"/>
  <c r="AI53" i="36" s="1"/>
  <c r="AN53" i="36" s="1"/>
  <c r="AS53" i="36" s="1"/>
  <c r="X53" i="36"/>
  <c r="AC53" i="36" s="1"/>
  <c r="AH53" i="36" s="1"/>
  <c r="AM53" i="36" s="1"/>
  <c r="AR53" i="36" s="1"/>
  <c r="AA53" i="36"/>
  <c r="AF53" i="36" s="1"/>
  <c r="F151" i="36"/>
  <c r="F152" i="36"/>
  <c r="M140" i="36"/>
  <c r="M53" i="39"/>
  <c r="M56" i="39"/>
  <c r="R53" i="39"/>
  <c r="R56" i="39"/>
  <c r="G56" i="39"/>
  <c r="G53" i="39"/>
  <c r="AB88" i="36"/>
  <c r="AD88" i="36"/>
  <c r="AP88" i="36"/>
  <c r="AO88" i="36"/>
  <c r="AM88" i="36"/>
  <c r="H155" i="36"/>
  <c r="P76" i="36"/>
  <c r="P77" i="36" s="1"/>
  <c r="U83" i="36"/>
  <c r="U85" i="36" s="1"/>
  <c r="T85" i="36"/>
  <c r="T86" i="36" s="1"/>
  <c r="S74" i="36"/>
  <c r="S76" i="36" s="1"/>
  <c r="S77" i="36" s="1"/>
  <c r="X77" i="36" s="1"/>
  <c r="P90" i="36"/>
  <c r="Q76" i="36"/>
  <c r="Q77" i="36" s="1"/>
  <c r="V77" i="36" s="1"/>
  <c r="AA77" i="36" s="1"/>
  <c r="AF77" i="36" s="1"/>
  <c r="AK77" i="36" s="1"/>
  <c r="AP77" i="36" s="1"/>
  <c r="AU77" i="36" s="1"/>
  <c r="F23" i="36"/>
  <c r="F143" i="36" s="1"/>
  <c r="P43" i="36"/>
  <c r="P44" i="36" s="1"/>
  <c r="N23" i="36"/>
  <c r="N25" i="36" s="1"/>
  <c r="M101" i="36"/>
  <c r="M94" i="36"/>
  <c r="W123" i="36"/>
  <c r="R74" i="36"/>
  <c r="Q90" i="36"/>
  <c r="W90" i="36" s="1"/>
  <c r="R17" i="36"/>
  <c r="Q23" i="36"/>
  <c r="Q25" i="36" s="1"/>
  <c r="M91" i="36"/>
  <c r="Q19" i="36"/>
  <c r="Q29" i="36" s="1"/>
  <c r="H94" i="36"/>
  <c r="K23" i="36"/>
  <c r="K25" i="36" s="1"/>
  <c r="O23" i="36"/>
  <c r="O25" i="36" s="1"/>
  <c r="P137" i="36"/>
  <c r="AB108" i="36"/>
  <c r="AB109" i="36" s="1"/>
  <c r="R140" i="36"/>
  <c r="D137" i="36"/>
  <c r="R105" i="36"/>
  <c r="R106" i="36" s="1"/>
  <c r="M17" i="36"/>
  <c r="H101" i="36"/>
  <c r="E19" i="36"/>
  <c r="E142" i="36" s="1"/>
  <c r="E141" i="36"/>
  <c r="L137" i="36"/>
  <c r="H28" i="36"/>
  <c r="P23" i="36"/>
  <c r="P141" i="36"/>
  <c r="P19" i="36"/>
  <c r="H23" i="36"/>
  <c r="H141" i="36"/>
  <c r="K170" i="36"/>
  <c r="J141" i="36"/>
  <c r="J19" i="36"/>
  <c r="J23" i="36"/>
  <c r="G173" i="36"/>
  <c r="G18" i="36"/>
  <c r="G17" i="36"/>
  <c r="G137" i="36" s="1"/>
  <c r="L121" i="36"/>
  <c r="N72" i="36"/>
  <c r="N137" i="36"/>
  <c r="H168" i="36"/>
  <c r="F173" i="36"/>
  <c r="F18" i="36"/>
  <c r="F106" i="36"/>
  <c r="K72" i="36"/>
  <c r="K137" i="36"/>
  <c r="E137" i="36"/>
  <c r="E106" i="36"/>
  <c r="O137" i="36"/>
  <c r="O72" i="36"/>
  <c r="O106" i="36"/>
  <c r="D106" i="36"/>
  <c r="H105" i="36"/>
  <c r="R18" i="36"/>
  <c r="N121" i="36"/>
  <c r="I121" i="36"/>
  <c r="Q41" i="36"/>
  <c r="P57" i="36"/>
  <c r="M131" i="36"/>
  <c r="I23" i="36"/>
  <c r="I141" i="36"/>
  <c r="I19" i="36"/>
  <c r="G72" i="36"/>
  <c r="M120" i="36"/>
  <c r="P106" i="36"/>
  <c r="I72" i="36"/>
  <c r="I137" i="36"/>
  <c r="I106" i="36"/>
  <c r="F72" i="36"/>
  <c r="F137" i="36"/>
  <c r="H58" i="36"/>
  <c r="R131" i="36"/>
  <c r="Y26" i="36"/>
  <c r="J137" i="36"/>
  <c r="J106" i="36"/>
  <c r="F121" i="36"/>
  <c r="H120" i="36"/>
  <c r="N19" i="36"/>
  <c r="Q137" i="36"/>
  <c r="S136" i="36"/>
  <c r="G106" i="36"/>
  <c r="E25" i="36"/>
  <c r="E143" i="36"/>
  <c r="H91" i="36"/>
  <c r="D170" i="36"/>
  <c r="D23" i="36"/>
  <c r="D141" i="36"/>
  <c r="H71" i="36"/>
  <c r="L140" i="36"/>
  <c r="L141" i="36"/>
  <c r="L23" i="36"/>
  <c r="L19" i="36"/>
  <c r="X35" i="36"/>
  <c r="O19" i="36"/>
  <c r="W35" i="36"/>
  <c r="W109" i="36"/>
  <c r="T135" i="36"/>
  <c r="S135" i="36"/>
  <c r="S92" i="36"/>
  <c r="T58" i="36"/>
  <c r="U50" i="36"/>
  <c r="S170" i="36"/>
  <c r="S173" i="36" s="1"/>
  <c r="W128" i="36"/>
  <c r="R121" i="36"/>
  <c r="AG108" i="36"/>
  <c r="W104" i="36"/>
  <c r="R101" i="36"/>
  <c r="R98" i="36"/>
  <c r="R94" i="36"/>
  <c r="M105" i="36"/>
  <c r="M106" i="36" s="1"/>
  <c r="L106" i="36"/>
  <c r="AG55" i="36"/>
  <c r="AP72" i="41" l="1"/>
  <c r="AQ71" i="41"/>
  <c r="Y40" i="46"/>
  <c r="AR7" i="46"/>
  <c r="AR99" i="41"/>
  <c r="AR66" i="41"/>
  <c r="AR14" i="43"/>
  <c r="AR127" i="41"/>
  <c r="AO19" i="42"/>
  <c r="AO142" i="41"/>
  <c r="AO142" i="42" s="1"/>
  <c r="AQ131" i="41"/>
  <c r="AQ131" i="42" s="1"/>
  <c r="AQ130" i="42"/>
  <c r="X46" i="45"/>
  <c r="X6" i="44"/>
  <c r="Y21" i="41"/>
  <c r="X11" i="43"/>
  <c r="AQ12" i="42"/>
  <c r="AQ15" i="41"/>
  <c r="AP17" i="41"/>
  <c r="AP137" i="41" s="1"/>
  <c r="AL69" i="36"/>
  <c r="AN163" i="36"/>
  <c r="AO163" i="36" s="1"/>
  <c r="AP163" i="36" s="1"/>
  <c r="AR163" i="36" s="1"/>
  <c r="AM129" i="36"/>
  <c r="AN129" i="36" s="1"/>
  <c r="AO129" i="36" s="1"/>
  <c r="AP129" i="36" s="1"/>
  <c r="AM102" i="36"/>
  <c r="AN102" i="36" s="1"/>
  <c r="AO102" i="36" s="1"/>
  <c r="AP102" i="36" s="1"/>
  <c r="AG102" i="36"/>
  <c r="Y86" i="36"/>
  <c r="AD86" i="36" s="1"/>
  <c r="AI86" i="36" s="1"/>
  <c r="AN86" i="36" s="1"/>
  <c r="AS86" i="36" s="1"/>
  <c r="AC77" i="36"/>
  <c r="AH77" i="36" s="1"/>
  <c r="AM77" i="36" s="1"/>
  <c r="AR77" i="36" s="1"/>
  <c r="AK53" i="36"/>
  <c r="AP53" i="36" s="1"/>
  <c r="AU53" i="36" s="1"/>
  <c r="AU88" i="36"/>
  <c r="AR88" i="36"/>
  <c r="AT88" i="36"/>
  <c r="AI88" i="36"/>
  <c r="AG88" i="36"/>
  <c r="S90" i="36"/>
  <c r="V83" i="36"/>
  <c r="W83" i="36" s="1"/>
  <c r="F25" i="36"/>
  <c r="T74" i="36"/>
  <c r="T76" i="36" s="1"/>
  <c r="T77" i="36" s="1"/>
  <c r="Y77" i="36" s="1"/>
  <c r="K143" i="36"/>
  <c r="Q43" i="36"/>
  <c r="Q44" i="36" s="1"/>
  <c r="V44" i="36" s="1"/>
  <c r="AA44" i="36" s="1"/>
  <c r="AF44" i="36" s="1"/>
  <c r="U135" i="36"/>
  <c r="R23" i="36"/>
  <c r="R143" i="36" s="1"/>
  <c r="M141" i="36"/>
  <c r="N143" i="36"/>
  <c r="R141" i="36"/>
  <c r="Q142" i="36"/>
  <c r="Q143" i="36"/>
  <c r="M23" i="36"/>
  <c r="M143" i="36" s="1"/>
  <c r="O143" i="36"/>
  <c r="X123" i="36"/>
  <c r="X7" i="36" s="1"/>
  <c r="X135" i="36" s="1"/>
  <c r="S101" i="36"/>
  <c r="S98" i="36"/>
  <c r="S94" i="36"/>
  <c r="E29" i="36"/>
  <c r="E34" i="36" s="1"/>
  <c r="V115" i="36"/>
  <c r="W115" i="36" s="1"/>
  <c r="V16" i="36"/>
  <c r="V9" i="39" s="1"/>
  <c r="E27" i="36"/>
  <c r="O27" i="36"/>
  <c r="M121" i="36"/>
  <c r="N27" i="36"/>
  <c r="U155" i="36"/>
  <c r="V153" i="36"/>
  <c r="P143" i="36"/>
  <c r="P25" i="36"/>
  <c r="Q27" i="36"/>
  <c r="P29" i="36"/>
  <c r="P142" i="36"/>
  <c r="F19" i="36"/>
  <c r="L29" i="36"/>
  <c r="L142" i="36"/>
  <c r="I142" i="36"/>
  <c r="I29" i="36"/>
  <c r="Q57" i="36"/>
  <c r="S41" i="36"/>
  <c r="L25" i="36"/>
  <c r="D173" i="36"/>
  <c r="D18" i="36"/>
  <c r="H121" i="36"/>
  <c r="K27" i="36"/>
  <c r="J25" i="36"/>
  <c r="J143" i="36"/>
  <c r="H25" i="36"/>
  <c r="H143" i="36"/>
  <c r="I25" i="36"/>
  <c r="I143" i="36"/>
  <c r="J29" i="36"/>
  <c r="J142" i="36"/>
  <c r="H72" i="36"/>
  <c r="Z26" i="36"/>
  <c r="D143" i="36"/>
  <c r="D25" i="36"/>
  <c r="G141" i="36"/>
  <c r="G19" i="36"/>
  <c r="G23" i="36"/>
  <c r="O142" i="36"/>
  <c r="O29" i="36"/>
  <c r="H106" i="36"/>
  <c r="Q34" i="36"/>
  <c r="K18" i="36"/>
  <c r="K173" i="36"/>
  <c r="R19" i="36"/>
  <c r="Y35" i="36"/>
  <c r="N142" i="36"/>
  <c r="N29" i="36"/>
  <c r="T133" i="36"/>
  <c r="S133" i="36"/>
  <c r="W42" i="36"/>
  <c r="W58" i="36" s="1"/>
  <c r="V58" i="36"/>
  <c r="S59" i="36"/>
  <c r="S134" i="36"/>
  <c r="U52" i="36"/>
  <c r="V50" i="36"/>
  <c r="V14" i="36"/>
  <c r="W129" i="36"/>
  <c r="S18" i="36"/>
  <c r="W126" i="36"/>
  <c r="W125" i="36"/>
  <c r="W124" i="36"/>
  <c r="Y123" i="36"/>
  <c r="V110" i="36"/>
  <c r="X115" i="36"/>
  <c r="AG109" i="36"/>
  <c r="AL108" i="36"/>
  <c r="V112" i="36"/>
  <c r="U136" i="36"/>
  <c r="AL55" i="36"/>
  <c r="AR127" i="42" l="1"/>
  <c r="AR130" i="41"/>
  <c r="AR12" i="41"/>
  <c r="AR66" i="42"/>
  <c r="AR70" i="41"/>
  <c r="X11" i="44"/>
  <c r="X20" i="43"/>
  <c r="AS99" i="41"/>
  <c r="AR99" i="42"/>
  <c r="AR103" i="41"/>
  <c r="AQ17" i="41"/>
  <c r="Y21" i="42"/>
  <c r="Y23" i="41"/>
  <c r="AQ72" i="41"/>
  <c r="AS7" i="45"/>
  <c r="AS66" i="41" s="1"/>
  <c r="AR14" i="44"/>
  <c r="AP141" i="41"/>
  <c r="AP19" i="41"/>
  <c r="X48" i="45"/>
  <c r="X48" i="46" s="1"/>
  <c r="X46" i="46"/>
  <c r="AQ69" i="36"/>
  <c r="AS163" i="36"/>
  <c r="AT163" i="36" s="1"/>
  <c r="AU163" i="36" s="1"/>
  <c r="AR129" i="36"/>
  <c r="AS129" i="36" s="1"/>
  <c r="AT129" i="36" s="1"/>
  <c r="AU129" i="36" s="1"/>
  <c r="AR102" i="36"/>
  <c r="AS102" i="36" s="1"/>
  <c r="AT102" i="36" s="1"/>
  <c r="AU102" i="36" s="1"/>
  <c r="W57" i="36"/>
  <c r="AD77" i="36"/>
  <c r="AI77" i="36" s="1"/>
  <c r="AN77" i="36" s="1"/>
  <c r="AS77" i="36" s="1"/>
  <c r="V10" i="39"/>
  <c r="W10" i="39" s="1"/>
  <c r="W9" i="39"/>
  <c r="U151" i="36"/>
  <c r="U152" i="36"/>
  <c r="V85" i="36"/>
  <c r="V87" i="36" s="1"/>
  <c r="AN88" i="36"/>
  <c r="T90" i="36"/>
  <c r="U74" i="36"/>
  <c r="U76" i="36" s="1"/>
  <c r="R25" i="36"/>
  <c r="W7" i="36"/>
  <c r="F27" i="36"/>
  <c r="F32" i="36" s="1"/>
  <c r="S43" i="36"/>
  <c r="S44" i="36" s="1"/>
  <c r="X44" i="36" s="1"/>
  <c r="AC44" i="36" s="1"/>
  <c r="M25" i="36"/>
  <c r="V136" i="36"/>
  <c r="S61" i="36"/>
  <c r="S68" i="36"/>
  <c r="S65" i="36"/>
  <c r="AV55" i="36"/>
  <c r="AV108" i="36"/>
  <c r="W119" i="36"/>
  <c r="Z35" i="36"/>
  <c r="Q32" i="36"/>
  <c r="Q33" i="36"/>
  <c r="K33" i="36"/>
  <c r="K32" i="36"/>
  <c r="S57" i="36"/>
  <c r="T41" i="36"/>
  <c r="O33" i="36"/>
  <c r="O32" i="36"/>
  <c r="G25" i="36"/>
  <c r="G143" i="36"/>
  <c r="J34" i="36"/>
  <c r="I27" i="36"/>
  <c r="I34" i="36"/>
  <c r="N34" i="36"/>
  <c r="P27" i="36"/>
  <c r="O34" i="36"/>
  <c r="AA26" i="36"/>
  <c r="H18" i="36"/>
  <c r="D19" i="36"/>
  <c r="N32" i="36"/>
  <c r="N33" i="36"/>
  <c r="E32" i="36"/>
  <c r="E33" i="36"/>
  <c r="F142" i="36"/>
  <c r="F29" i="36"/>
  <c r="V155" i="36"/>
  <c r="H27" i="36"/>
  <c r="L34" i="36"/>
  <c r="G142" i="36"/>
  <c r="G29" i="36"/>
  <c r="AL88" i="36"/>
  <c r="T92" i="36"/>
  <c r="R29" i="36"/>
  <c r="R142" i="36"/>
  <c r="P34" i="36"/>
  <c r="K19" i="36"/>
  <c r="M18" i="36"/>
  <c r="D27" i="36"/>
  <c r="J27" i="36"/>
  <c r="L27" i="36"/>
  <c r="X83" i="36"/>
  <c r="AB84" i="36"/>
  <c r="X50" i="36"/>
  <c r="V52" i="36"/>
  <c r="W50" i="36"/>
  <c r="T134" i="36"/>
  <c r="T59" i="36"/>
  <c r="S8" i="36"/>
  <c r="S28" i="36"/>
  <c r="X14" i="36"/>
  <c r="W14" i="36"/>
  <c r="T168" i="36"/>
  <c r="Z123" i="36"/>
  <c r="Y7" i="36"/>
  <c r="W110" i="36"/>
  <c r="W111" i="36" s="1"/>
  <c r="X112" i="36"/>
  <c r="AQ108" i="36"/>
  <c r="AL109" i="36"/>
  <c r="W116" i="36"/>
  <c r="Y115" i="36"/>
  <c r="W112" i="36"/>
  <c r="X110" i="36"/>
  <c r="W16" i="36"/>
  <c r="AQ55" i="36"/>
  <c r="AS66" i="42" l="1"/>
  <c r="AS70" i="41"/>
  <c r="AQ141" i="41"/>
  <c r="AQ19" i="41"/>
  <c r="AS99" i="42"/>
  <c r="AS103" i="41"/>
  <c r="AR12" i="42"/>
  <c r="AR15" i="41"/>
  <c r="AR103" i="42"/>
  <c r="AR105" i="41"/>
  <c r="AS7" i="46"/>
  <c r="Y23" i="42"/>
  <c r="Y24" i="41"/>
  <c r="Y25" i="41"/>
  <c r="AR131" i="41"/>
  <c r="AR131" i="42" s="1"/>
  <c r="AR130" i="42"/>
  <c r="AP142" i="41"/>
  <c r="AS14" i="43"/>
  <c r="X43" i="43"/>
  <c r="X43" i="44" s="1"/>
  <c r="X20" i="44"/>
  <c r="AR71" i="41"/>
  <c r="AS127" i="41"/>
  <c r="AV69" i="36"/>
  <c r="AL102" i="36"/>
  <c r="S53" i="39"/>
  <c r="S56" i="39"/>
  <c r="AS88" i="36"/>
  <c r="AV88" i="36" s="1"/>
  <c r="U90" i="36"/>
  <c r="V74" i="36"/>
  <c r="V90" i="36" s="1"/>
  <c r="R27" i="36"/>
  <c r="R31" i="36" s="1"/>
  <c r="X91" i="36"/>
  <c r="F33" i="36"/>
  <c r="K146" i="36" s="1"/>
  <c r="V76" i="36"/>
  <c r="V78" i="36" s="1"/>
  <c r="Z91" i="36"/>
  <c r="AA91" i="36"/>
  <c r="Y91" i="36"/>
  <c r="T43" i="36"/>
  <c r="T44" i="36" s="1"/>
  <c r="Y44" i="36" s="1"/>
  <c r="AD44" i="36" s="1"/>
  <c r="M27" i="36"/>
  <c r="M31" i="36" s="1"/>
  <c r="M48" i="39" s="1"/>
  <c r="T98" i="36"/>
  <c r="T94" i="36"/>
  <c r="T101" i="36"/>
  <c r="AV109" i="36"/>
  <c r="T61" i="36"/>
  <c r="T68" i="36"/>
  <c r="T65" i="36"/>
  <c r="U168" i="36"/>
  <c r="X16" i="36"/>
  <c r="X9" i="39" s="1"/>
  <c r="J33" i="36"/>
  <c r="J146" i="36" s="1"/>
  <c r="J32" i="36"/>
  <c r="F34" i="36"/>
  <c r="H19" i="36"/>
  <c r="P32" i="36"/>
  <c r="P33" i="36"/>
  <c r="P146" i="36" s="1"/>
  <c r="T57" i="36"/>
  <c r="U41" i="36"/>
  <c r="D29" i="36"/>
  <c r="D142" i="36"/>
  <c r="G34" i="36"/>
  <c r="L147" i="36" s="1"/>
  <c r="AC26" i="36"/>
  <c r="AB26" i="36"/>
  <c r="J147" i="36"/>
  <c r="D32" i="36"/>
  <c r="D33" i="36"/>
  <c r="O147" i="36"/>
  <c r="I33" i="36"/>
  <c r="I146" i="36" s="1"/>
  <c r="I32" i="36"/>
  <c r="AQ88" i="36"/>
  <c r="G27" i="36"/>
  <c r="H32" i="36"/>
  <c r="H33" i="36"/>
  <c r="M19" i="36"/>
  <c r="Q147" i="36"/>
  <c r="K29" i="36"/>
  <c r="K142" i="36"/>
  <c r="X155" i="36"/>
  <c r="L33" i="36"/>
  <c r="L32" i="36"/>
  <c r="W155" i="36"/>
  <c r="N147" i="36"/>
  <c r="AB51" i="36"/>
  <c r="W22" i="36"/>
  <c r="X85" i="36"/>
  <c r="Y83" i="36"/>
  <c r="S140" i="36"/>
  <c r="T8" i="36"/>
  <c r="Y50" i="36"/>
  <c r="X52" i="36"/>
  <c r="V54" i="36"/>
  <c r="T170" i="36"/>
  <c r="T173" i="36" s="1"/>
  <c r="Y14" i="36"/>
  <c r="AA123" i="36"/>
  <c r="AB123" i="36" s="1"/>
  <c r="Y135" i="36"/>
  <c r="Z7" i="36"/>
  <c r="Z135" i="36" s="1"/>
  <c r="Z115" i="36"/>
  <c r="Y112" i="36"/>
  <c r="Y110" i="36"/>
  <c r="W113" i="36"/>
  <c r="AQ109" i="36"/>
  <c r="Y16" i="36"/>
  <c r="Y9" i="39" s="1"/>
  <c r="Y10" i="39" s="1"/>
  <c r="AR17" i="41" l="1"/>
  <c r="AS105" i="41"/>
  <c r="AS103" i="42"/>
  <c r="AT7" i="45"/>
  <c r="AT14" i="43" s="1"/>
  <c r="AS14" i="44"/>
  <c r="AS71" i="41"/>
  <c r="Y6" i="45"/>
  <c r="Y25" i="42"/>
  <c r="Y27" i="41"/>
  <c r="AQ65" i="43"/>
  <c r="AQ142" i="41"/>
  <c r="AS130" i="41"/>
  <c r="AS127" i="42"/>
  <c r="AR105" i="42"/>
  <c r="AR106" i="41"/>
  <c r="AR106" i="42" s="1"/>
  <c r="AS12" i="41"/>
  <c r="Y24" i="42"/>
  <c r="Y29" i="41"/>
  <c r="AR72" i="41"/>
  <c r="AR137" i="41"/>
  <c r="AT66" i="41"/>
  <c r="X10" i="39"/>
  <c r="R33" i="36"/>
  <c r="R36" i="36" s="1"/>
  <c r="R48" i="39"/>
  <c r="T56" i="39"/>
  <c r="T53" i="39"/>
  <c r="O146" i="36"/>
  <c r="AC115" i="36"/>
  <c r="W74" i="36"/>
  <c r="Q146" i="36"/>
  <c r="R30" i="36"/>
  <c r="R32" i="36" s="1"/>
  <c r="N146" i="36"/>
  <c r="X74" i="36"/>
  <c r="X76" i="36" s="1"/>
  <c r="X78" i="36" s="1"/>
  <c r="V79" i="36"/>
  <c r="V95" i="36"/>
  <c r="V92" i="36"/>
  <c r="AB75" i="36"/>
  <c r="AB91" i="36" s="1"/>
  <c r="U43" i="36"/>
  <c r="M30" i="36"/>
  <c r="M32" i="36" s="1"/>
  <c r="X136" i="36"/>
  <c r="AB35" i="36"/>
  <c r="Y136" i="36"/>
  <c r="R34" i="36"/>
  <c r="V168" i="36"/>
  <c r="S71" i="36"/>
  <c r="V30" i="36"/>
  <c r="V33" i="39" s="1"/>
  <c r="K34" i="36"/>
  <c r="AD26" i="36"/>
  <c r="V31" i="36"/>
  <c r="S130" i="36"/>
  <c r="S118" i="36"/>
  <c r="Y155" i="36"/>
  <c r="S103" i="36"/>
  <c r="H36" i="36"/>
  <c r="AC35" i="36"/>
  <c r="M33" i="36"/>
  <c r="M146" i="36" s="1"/>
  <c r="D34" i="36"/>
  <c r="G33" i="36"/>
  <c r="L146" i="36" s="1"/>
  <c r="G32" i="36"/>
  <c r="M142" i="36"/>
  <c r="M29" i="36"/>
  <c r="V41" i="36"/>
  <c r="V43" i="36" s="1"/>
  <c r="V45" i="36" s="1"/>
  <c r="U57" i="36"/>
  <c r="H29" i="36"/>
  <c r="H142" i="36"/>
  <c r="Y85" i="36"/>
  <c r="Z83" i="36"/>
  <c r="X87" i="36"/>
  <c r="V6" i="36"/>
  <c r="W6" i="36" s="1"/>
  <c r="T140" i="36"/>
  <c r="X54" i="36"/>
  <c r="Z50" i="36"/>
  <c r="Y52" i="36"/>
  <c r="Z14" i="36"/>
  <c r="U170" i="36"/>
  <c r="T18" i="36"/>
  <c r="AB125" i="36"/>
  <c r="AB124" i="36"/>
  <c r="AC123" i="36"/>
  <c r="AA7" i="36"/>
  <c r="AA115" i="36"/>
  <c r="Z110" i="36"/>
  <c r="Z112" i="36"/>
  <c r="Z16" i="36"/>
  <c r="Z9" i="39" s="1"/>
  <c r="Z10" i="39" s="1"/>
  <c r="AB104" i="36"/>
  <c r="AU7" i="45" l="1"/>
  <c r="AU7" i="46" s="1"/>
  <c r="AT14" i="44"/>
  <c r="Y27" i="42"/>
  <c r="Y32" i="41"/>
  <c r="Y32" i="42" s="1"/>
  <c r="Y33" i="41"/>
  <c r="AS12" i="42"/>
  <c r="AS15" i="41"/>
  <c r="AT66" i="42"/>
  <c r="AT70" i="41"/>
  <c r="Y6" i="46"/>
  <c r="Y22" i="45"/>
  <c r="Y38" i="43"/>
  <c r="AS72" i="41"/>
  <c r="AQ64" i="43"/>
  <c r="AS105" i="42"/>
  <c r="AS106" i="41"/>
  <c r="AS106" i="42" s="1"/>
  <c r="AT7" i="46"/>
  <c r="AV7" i="45"/>
  <c r="AV7" i="46" s="1"/>
  <c r="AT99" i="41"/>
  <c r="AU66" i="41" s="1"/>
  <c r="AS131" i="41"/>
  <c r="AS131" i="42" s="1"/>
  <c r="AS130" i="42"/>
  <c r="Y34" i="41"/>
  <c r="Y29" i="42"/>
  <c r="AT127" i="41"/>
  <c r="AR19" i="41"/>
  <c r="AR141" i="41"/>
  <c r="AQ102" i="36"/>
  <c r="AK44" i="36"/>
  <c r="AH44" i="36"/>
  <c r="V57" i="39"/>
  <c r="W33" i="39"/>
  <c r="W57" i="39" s="1"/>
  <c r="AB90" i="36"/>
  <c r="AC112" i="36"/>
  <c r="AC110" i="36"/>
  <c r="AD115" i="36"/>
  <c r="Y74" i="36"/>
  <c r="Z74" i="36" s="1"/>
  <c r="AA74" i="36" s="1"/>
  <c r="X95" i="36"/>
  <c r="R146" i="36"/>
  <c r="X79" i="36"/>
  <c r="X90" i="36"/>
  <c r="U8" i="36"/>
  <c r="AA58" i="36"/>
  <c r="Z136" i="36"/>
  <c r="S72" i="36"/>
  <c r="M36" i="36"/>
  <c r="X31" i="36"/>
  <c r="H34" i="36"/>
  <c r="W41" i="36"/>
  <c r="V57" i="36"/>
  <c r="S15" i="36"/>
  <c r="S120" i="36"/>
  <c r="S131" i="36"/>
  <c r="S105" i="36"/>
  <c r="Z155" i="36"/>
  <c r="M34" i="36"/>
  <c r="X30" i="36"/>
  <c r="AE26" i="36"/>
  <c r="AD35" i="36"/>
  <c r="K147" i="36"/>
  <c r="P147" i="36"/>
  <c r="I147" i="36"/>
  <c r="X92" i="36"/>
  <c r="AA83" i="36"/>
  <c r="AC83" i="36" s="1"/>
  <c r="Z85" i="36"/>
  <c r="Y87" i="36"/>
  <c r="AA50" i="36"/>
  <c r="AC50" i="36" s="1"/>
  <c r="Z52" i="36"/>
  <c r="V134" i="36"/>
  <c r="X6" i="36"/>
  <c r="X134" i="36" s="1"/>
  <c r="Y54" i="36"/>
  <c r="V170" i="36"/>
  <c r="U18" i="36"/>
  <c r="T28" i="36"/>
  <c r="AA14" i="36"/>
  <c r="AB129" i="36"/>
  <c r="AB128" i="36"/>
  <c r="AB126" i="36"/>
  <c r="AB7" i="36"/>
  <c r="AC7" i="36"/>
  <c r="AC135" i="36" s="1"/>
  <c r="AA135" i="36"/>
  <c r="AD123" i="36"/>
  <c r="AB119" i="36"/>
  <c r="AB115" i="36"/>
  <c r="AA112" i="36"/>
  <c r="AA110" i="36"/>
  <c r="AB110" i="36" s="1"/>
  <c r="AA16" i="36"/>
  <c r="AA9" i="39" s="1"/>
  <c r="AA10" i="39" s="1"/>
  <c r="AB10" i="39" s="1"/>
  <c r="AU66" i="42" l="1"/>
  <c r="AU70" i="41"/>
  <c r="AV66" i="41"/>
  <c r="Y146" i="41"/>
  <c r="Y146" i="42" s="1"/>
  <c r="Y33" i="42"/>
  <c r="AT12" i="41"/>
  <c r="Y147" i="41"/>
  <c r="Y147" i="42" s="1"/>
  <c r="Y34" i="42"/>
  <c r="AT71" i="41"/>
  <c r="AT70" i="42"/>
  <c r="Y55" i="45"/>
  <c r="Y22" i="46"/>
  <c r="AT99" i="42"/>
  <c r="AU99" i="41"/>
  <c r="AT103" i="41"/>
  <c r="AR142" i="41"/>
  <c r="AS17" i="41"/>
  <c r="Y38" i="44"/>
  <c r="Y41" i="43"/>
  <c r="AS137" i="41"/>
  <c r="AT130" i="41"/>
  <c r="AU127" i="41"/>
  <c r="AT127" i="42"/>
  <c r="AV127" i="41"/>
  <c r="AU14" i="43"/>
  <c r="AC118" i="36"/>
  <c r="AC120" i="36" s="1"/>
  <c r="AC121" i="36" s="1"/>
  <c r="AB9" i="39"/>
  <c r="Y76" i="36"/>
  <c r="Y78" i="36" s="1"/>
  <c r="AM44" i="36"/>
  <c r="AP44" i="36"/>
  <c r="AI44" i="36"/>
  <c r="AC33" i="39"/>
  <c r="X33" i="39"/>
  <c r="U53" i="39"/>
  <c r="V53" i="39" s="1"/>
  <c r="X53" i="39" s="1"/>
  <c r="Y53" i="39" s="1"/>
  <c r="Z53" i="39" s="1"/>
  <c r="AA53" i="39" s="1"/>
  <c r="AC53" i="39" s="1"/>
  <c r="AD53" i="39" s="1"/>
  <c r="AE53" i="39" s="1"/>
  <c r="AF53" i="39" s="1"/>
  <c r="AH53" i="39" s="1"/>
  <c r="AI53" i="39" s="1"/>
  <c r="AJ53" i="39" s="1"/>
  <c r="AK53" i="39" s="1"/>
  <c r="AM53" i="39" s="1"/>
  <c r="AN53" i="39" s="1"/>
  <c r="AO53" i="39" s="1"/>
  <c r="AP53" i="39" s="1"/>
  <c r="AR53" i="39" s="1"/>
  <c r="AS53" i="39" s="1"/>
  <c r="AT53" i="39" s="1"/>
  <c r="AU53" i="39" s="1"/>
  <c r="U56" i="39"/>
  <c r="Z76" i="36"/>
  <c r="Y90" i="36"/>
  <c r="Z90" i="36"/>
  <c r="AE115" i="36"/>
  <c r="AD110" i="36"/>
  <c r="AD112" i="36"/>
  <c r="AC85" i="36"/>
  <c r="AC87" i="36" s="1"/>
  <c r="AD83" i="36"/>
  <c r="AC74" i="36"/>
  <c r="AC76" i="36" s="1"/>
  <c r="AC78" i="36" s="1"/>
  <c r="AD50" i="36"/>
  <c r="AC52" i="36"/>
  <c r="AC54" i="36" s="1"/>
  <c r="Y79" i="36"/>
  <c r="Y95" i="36"/>
  <c r="AA76" i="36"/>
  <c r="AA78" i="36" s="1"/>
  <c r="U140" i="36"/>
  <c r="V46" i="36"/>
  <c r="V5" i="36"/>
  <c r="V133" i="36" s="1"/>
  <c r="V62" i="36"/>
  <c r="V59" i="36"/>
  <c r="AA136" i="36"/>
  <c r="AE35" i="36"/>
  <c r="M147" i="36"/>
  <c r="R147" i="36"/>
  <c r="S121" i="36"/>
  <c r="Y31" i="36"/>
  <c r="S17" i="36"/>
  <c r="S137" i="36" s="1"/>
  <c r="AF26" i="36"/>
  <c r="AG26" i="36" s="1"/>
  <c r="S106" i="36"/>
  <c r="Y58" i="36"/>
  <c r="X58" i="36"/>
  <c r="AB42" i="36"/>
  <c r="X41" i="36"/>
  <c r="AA155" i="36"/>
  <c r="Z58" i="36"/>
  <c r="Y30" i="36"/>
  <c r="AB74" i="36"/>
  <c r="AA90" i="36"/>
  <c r="AB83" i="36"/>
  <c r="AA85" i="36"/>
  <c r="Y6" i="36"/>
  <c r="Y134" i="36" s="1"/>
  <c r="AB50" i="36"/>
  <c r="AA52" i="36"/>
  <c r="AB14" i="36"/>
  <c r="AC14" i="36"/>
  <c r="X168" i="36"/>
  <c r="V18" i="36"/>
  <c r="AD7" i="36"/>
  <c r="AE123" i="36"/>
  <c r="AB111" i="36"/>
  <c r="AB112" i="36"/>
  <c r="AB116" i="36"/>
  <c r="AC16" i="36"/>
  <c r="AC9" i="39" s="1"/>
  <c r="AB16" i="36"/>
  <c r="AT130" i="42" l="1"/>
  <c r="AT131" i="41"/>
  <c r="AT131" i="42" s="1"/>
  <c r="AV130" i="41"/>
  <c r="AV127" i="42"/>
  <c r="Y55" i="46"/>
  <c r="Y148" i="41"/>
  <c r="Y148" i="42" s="1"/>
  <c r="AU14" i="44"/>
  <c r="AV14" i="43"/>
  <c r="AV14" i="44" s="1"/>
  <c r="Y42" i="43"/>
  <c r="Y41" i="44"/>
  <c r="Y62" i="43"/>
  <c r="Y62" i="44" s="1"/>
  <c r="AV66" i="42"/>
  <c r="AV70" i="41"/>
  <c r="AU99" i="42"/>
  <c r="AU103" i="41"/>
  <c r="AU71" i="41"/>
  <c r="AT105" i="41"/>
  <c r="AT103" i="42"/>
  <c r="AU127" i="42"/>
  <c r="AU130" i="41"/>
  <c r="AT12" i="42"/>
  <c r="AT15" i="41"/>
  <c r="AS141" i="41"/>
  <c r="AS19" i="41"/>
  <c r="AU12" i="41"/>
  <c r="AV12" i="41" s="1"/>
  <c r="AT71" i="42"/>
  <c r="AT72" i="41"/>
  <c r="AT72" i="42" s="1"/>
  <c r="AV99" i="41"/>
  <c r="AV102" i="36"/>
  <c r="Y92" i="36"/>
  <c r="AC10" i="39"/>
  <c r="AN44" i="36"/>
  <c r="AU44" i="36"/>
  <c r="AR44" i="36"/>
  <c r="AD33" i="39"/>
  <c r="AD57" i="39" s="1"/>
  <c r="Y33" i="39"/>
  <c r="Y57" i="39" s="1"/>
  <c r="X57" i="39"/>
  <c r="X58" i="39" s="1"/>
  <c r="AC57" i="39"/>
  <c r="AE110" i="36"/>
  <c r="AF115" i="36"/>
  <c r="AE112" i="36"/>
  <c r="AD118" i="36"/>
  <c r="AD120" i="36" s="1"/>
  <c r="AD121" i="36" s="1"/>
  <c r="AD85" i="36"/>
  <c r="AD87" i="36" s="1"/>
  <c r="AE83" i="36"/>
  <c r="AD74" i="36"/>
  <c r="AC90" i="36"/>
  <c r="AC95" i="36"/>
  <c r="AC92" i="36"/>
  <c r="AC79" i="36"/>
  <c r="AD52" i="36"/>
  <c r="AD54" i="36" s="1"/>
  <c r="AE50" i="36"/>
  <c r="AA79" i="36"/>
  <c r="AA95" i="36"/>
  <c r="X43" i="36"/>
  <c r="X45" i="36" s="1"/>
  <c r="V67" i="36"/>
  <c r="V60" i="36"/>
  <c r="V10" i="36"/>
  <c r="W10" i="36" s="1"/>
  <c r="W5" i="36"/>
  <c r="W8" i="36" s="1"/>
  <c r="V8" i="36"/>
  <c r="Z31" i="36"/>
  <c r="S141" i="36"/>
  <c r="S19" i="36"/>
  <c r="AB155" i="36"/>
  <c r="AH26" i="36"/>
  <c r="Z30" i="36"/>
  <c r="X57" i="36"/>
  <c r="Y41" i="36"/>
  <c r="AB58" i="36"/>
  <c r="AB139" i="36" s="1"/>
  <c r="W18" i="36"/>
  <c r="AG51" i="36"/>
  <c r="AB22" i="36"/>
  <c r="AG75" i="36"/>
  <c r="AA87" i="36"/>
  <c r="AG84" i="36"/>
  <c r="AA54" i="36"/>
  <c r="T130" i="36"/>
  <c r="T70" i="36"/>
  <c r="T103" i="36"/>
  <c r="T118" i="36"/>
  <c r="X170" i="36"/>
  <c r="AD14" i="36"/>
  <c r="AD135" i="36"/>
  <c r="AE7" i="36"/>
  <c r="AE135" i="36" s="1"/>
  <c r="AF123" i="36"/>
  <c r="AG123" i="36" s="1"/>
  <c r="AB113" i="36"/>
  <c r="AC136" i="36"/>
  <c r="AD16" i="36"/>
  <c r="AD9" i="39" s="1"/>
  <c r="AD10" i="39" s="1"/>
  <c r="AV12" i="42" l="1"/>
  <c r="AV15" i="41"/>
  <c r="AU72" i="41"/>
  <c r="AS142" i="41"/>
  <c r="AU105" i="41"/>
  <c r="AU103" i="42"/>
  <c r="Y42" i="44"/>
  <c r="Y7" i="43"/>
  <c r="Y12" i="43"/>
  <c r="Y12" i="44" s="1"/>
  <c r="Y17" i="43"/>
  <c r="AT17" i="41"/>
  <c r="AT15" i="42"/>
  <c r="AV130" i="42"/>
  <c r="AV131" i="41"/>
  <c r="AV131" i="42" s="1"/>
  <c r="AU12" i="42"/>
  <c r="AU15" i="41"/>
  <c r="AV99" i="42"/>
  <c r="AV103" i="41"/>
  <c r="AV103" i="42" s="1"/>
  <c r="AT105" i="42"/>
  <c r="AT106" i="41"/>
  <c r="AT106" i="42" s="1"/>
  <c r="AU131" i="41"/>
  <c r="AU131" i="42" s="1"/>
  <c r="AU130" i="42"/>
  <c r="AV71" i="41"/>
  <c r="V70" i="36"/>
  <c r="V71" i="36" s="1"/>
  <c r="W140" i="36"/>
  <c r="Y58" i="39"/>
  <c r="AS44" i="36"/>
  <c r="AE33" i="39"/>
  <c r="Z33" i="39"/>
  <c r="X46" i="36"/>
  <c r="V25" i="39"/>
  <c r="V8" i="38"/>
  <c r="V12" i="39"/>
  <c r="AH115" i="36"/>
  <c r="AE118" i="36"/>
  <c r="AE120" i="36" s="1"/>
  <c r="AE121" i="36" s="1"/>
  <c r="AF112" i="36"/>
  <c r="AF110" i="36"/>
  <c r="AF83" i="36"/>
  <c r="AE85" i="36"/>
  <c r="AC93" i="36"/>
  <c r="AC97" i="36"/>
  <c r="AC100" i="36"/>
  <c r="AE74" i="36"/>
  <c r="AE76" i="36" s="1"/>
  <c r="AD90" i="36"/>
  <c r="AD76" i="36"/>
  <c r="AD78" i="36" s="1"/>
  <c r="AE52" i="36"/>
  <c r="AF50" i="36"/>
  <c r="AB57" i="36"/>
  <c r="Y43" i="36"/>
  <c r="Y45" i="36" s="1"/>
  <c r="V140" i="36"/>
  <c r="U118" i="36"/>
  <c r="Y57" i="36"/>
  <c r="Z41" i="36"/>
  <c r="S142" i="36"/>
  <c r="AA31" i="36"/>
  <c r="AI26" i="36"/>
  <c r="AH35" i="36"/>
  <c r="AG35" i="36"/>
  <c r="AC153" i="36" s="1"/>
  <c r="AA30" i="36"/>
  <c r="AG91" i="36"/>
  <c r="AA92" i="36"/>
  <c r="U130" i="36"/>
  <c r="T71" i="36"/>
  <c r="T15" i="36"/>
  <c r="T105" i="36"/>
  <c r="AA6" i="36"/>
  <c r="AL51" i="36"/>
  <c r="T120" i="36"/>
  <c r="T131" i="36"/>
  <c r="AG129" i="36"/>
  <c r="AE14" i="36"/>
  <c r="Y168" i="36"/>
  <c r="X18" i="36"/>
  <c r="AG128" i="36"/>
  <c r="AG126" i="36"/>
  <c r="AG124" i="36"/>
  <c r="AF7" i="36"/>
  <c r="AH123" i="36"/>
  <c r="AG119" i="36"/>
  <c r="AG104" i="36"/>
  <c r="AE16" i="36"/>
  <c r="AE9" i="39" s="1"/>
  <c r="AE10" i="39" s="1"/>
  <c r="AD136" i="36"/>
  <c r="AT141" i="41" l="1"/>
  <c r="AT141" i="42" s="1"/>
  <c r="AT19" i="41"/>
  <c r="AT17" i="42"/>
  <c r="AT137" i="41"/>
  <c r="AT137" i="42" s="1"/>
  <c r="AU105" i="42"/>
  <c r="AU106" i="41"/>
  <c r="AU106" i="42" s="1"/>
  <c r="Y26" i="45"/>
  <c r="Y17" i="44"/>
  <c r="AV72" i="41"/>
  <c r="AV105" i="41"/>
  <c r="AV17" i="41"/>
  <c r="Y7" i="44"/>
  <c r="Y24" i="45"/>
  <c r="AU17" i="41"/>
  <c r="AU137" i="41" s="1"/>
  <c r="AD153" i="36"/>
  <c r="AC155" i="36"/>
  <c r="AC30" i="36" s="1"/>
  <c r="AH33" i="39" s="1"/>
  <c r="AF118" i="36"/>
  <c r="AF120" i="36" s="1"/>
  <c r="AF121" i="36" s="1"/>
  <c r="Z57" i="39"/>
  <c r="Z58" i="39" s="1"/>
  <c r="AF33" i="39"/>
  <c r="AF57" i="39" s="1"/>
  <c r="AA33" i="39"/>
  <c r="AA57" i="39" s="1"/>
  <c r="AE57" i="39"/>
  <c r="AG33" i="39"/>
  <c r="AG57" i="39" s="1"/>
  <c r="Y46" i="36"/>
  <c r="V35" i="39"/>
  <c r="V37" i="38" s="1"/>
  <c r="W12" i="39"/>
  <c r="W8" i="38"/>
  <c r="V15" i="39"/>
  <c r="W15" i="39" s="1"/>
  <c r="W25" i="39"/>
  <c r="W56" i="39" s="1"/>
  <c r="V14" i="38"/>
  <c r="AG90" i="36"/>
  <c r="AH110" i="36"/>
  <c r="AH112" i="36"/>
  <c r="AI115" i="36"/>
  <c r="AH83" i="36"/>
  <c r="AF85" i="36"/>
  <c r="AF87" i="36" s="1"/>
  <c r="AF74" i="36"/>
  <c r="AE90" i="36"/>
  <c r="AD95" i="36"/>
  <c r="AD92" i="36"/>
  <c r="AD79" i="36"/>
  <c r="AH50" i="36"/>
  <c r="AF52" i="36"/>
  <c r="AF54" i="36" s="1"/>
  <c r="Z43" i="36"/>
  <c r="AI35" i="36"/>
  <c r="X59" i="36"/>
  <c r="X62" i="36"/>
  <c r="X5" i="36"/>
  <c r="AJ26" i="36"/>
  <c r="Z57" i="36"/>
  <c r="AA41" i="36"/>
  <c r="AC41" i="36" s="1"/>
  <c r="AA134" i="36"/>
  <c r="U131" i="36"/>
  <c r="AC6" i="36"/>
  <c r="T106" i="36"/>
  <c r="U120" i="36"/>
  <c r="T121" i="36"/>
  <c r="T17" i="36"/>
  <c r="T72" i="36"/>
  <c r="Y170" i="36"/>
  <c r="AF14" i="36"/>
  <c r="AG125" i="36"/>
  <c r="AI123" i="36"/>
  <c r="AF135" i="36"/>
  <c r="AG7" i="36"/>
  <c r="AH7" i="36"/>
  <c r="AH135" i="36" s="1"/>
  <c r="AG115" i="36"/>
  <c r="AE136" i="36"/>
  <c r="AF16" i="36"/>
  <c r="AF9" i="39" s="1"/>
  <c r="AF10" i="39" s="1"/>
  <c r="AG10" i="39" s="1"/>
  <c r="AV106" i="41" l="1"/>
  <c r="AV106" i="42" s="1"/>
  <c r="AV105" i="42"/>
  <c r="Y26" i="46"/>
  <c r="Y24" i="46"/>
  <c r="Y27" i="45"/>
  <c r="AT19" i="42"/>
  <c r="AT142" i="41"/>
  <c r="AT142" i="42" s="1"/>
  <c r="AV19" i="41"/>
  <c r="AV141" i="41"/>
  <c r="AU141" i="41"/>
  <c r="AU19" i="41"/>
  <c r="AC31" i="36"/>
  <c r="AE153" i="36"/>
  <c r="AD155" i="36"/>
  <c r="AG9" i="39"/>
  <c r="AH118" i="36"/>
  <c r="AH120" i="36" s="1"/>
  <c r="AH121" i="36" s="1"/>
  <c r="AB33" i="39"/>
  <c r="AB57" i="39" s="1"/>
  <c r="AA58" i="39"/>
  <c r="AC58" i="39" s="1"/>
  <c r="W14" i="38"/>
  <c r="X7" i="39" s="1"/>
  <c r="W37" i="38"/>
  <c r="W35" i="39"/>
  <c r="W37" i="39" s="1"/>
  <c r="V37" i="39"/>
  <c r="AJ115" i="36"/>
  <c r="AI112" i="36"/>
  <c r="AI110" i="36"/>
  <c r="AH85" i="36"/>
  <c r="AH87" i="36" s="1"/>
  <c r="AI83" i="36"/>
  <c r="AD100" i="36"/>
  <c r="AD93" i="36"/>
  <c r="AD97" i="36"/>
  <c r="AH74" i="36"/>
  <c r="AF90" i="36"/>
  <c r="AF76" i="36"/>
  <c r="AF78" i="36" s="1"/>
  <c r="AH52" i="36"/>
  <c r="AH54" i="36" s="1"/>
  <c r="AI50" i="36"/>
  <c r="AC43" i="36"/>
  <c r="AC45" i="36" s="1"/>
  <c r="AC57" i="36"/>
  <c r="AD41" i="36"/>
  <c r="AD43" i="36" s="1"/>
  <c r="AD45" i="36" s="1"/>
  <c r="AA43" i="36"/>
  <c r="AA45" i="36" s="1"/>
  <c r="AF136" i="36"/>
  <c r="V12" i="36"/>
  <c r="Y59" i="36"/>
  <c r="Y5" i="36"/>
  <c r="Y133" i="36" s="1"/>
  <c r="Y62" i="36"/>
  <c r="AJ35" i="36"/>
  <c r="AK35" i="36" s="1"/>
  <c r="X133" i="36"/>
  <c r="X8" i="36"/>
  <c r="X10" i="36"/>
  <c r="X60" i="36"/>
  <c r="AD30" i="36"/>
  <c r="AI33" i="39" s="1"/>
  <c r="AA57" i="36"/>
  <c r="AB41" i="36"/>
  <c r="AK26" i="36"/>
  <c r="AL26" i="36" s="1"/>
  <c r="AG16" i="36"/>
  <c r="U15" i="36"/>
  <c r="AG74" i="36"/>
  <c r="AL75" i="36"/>
  <c r="AG83" i="36"/>
  <c r="AL84" i="36"/>
  <c r="T137" i="36"/>
  <c r="T19" i="36"/>
  <c r="T141" i="36"/>
  <c r="AG50" i="36"/>
  <c r="U121" i="36"/>
  <c r="AD6" i="36"/>
  <c r="AC134" i="36"/>
  <c r="W99" i="36"/>
  <c r="V118" i="36"/>
  <c r="W114" i="36"/>
  <c r="V130" i="36"/>
  <c r="W127" i="36"/>
  <c r="Z168" i="36"/>
  <c r="AH14" i="36"/>
  <c r="Y18" i="36"/>
  <c r="AG14" i="36"/>
  <c r="AI7" i="36"/>
  <c r="AI135" i="36" s="1"/>
  <c r="AJ123" i="36"/>
  <c r="AG116" i="36"/>
  <c r="AG112" i="36"/>
  <c r="AG110" i="36"/>
  <c r="AH16" i="36"/>
  <c r="AH9" i="39" s="1"/>
  <c r="AV65" i="43" l="1"/>
  <c r="AV142" i="41"/>
  <c r="AU142" i="41"/>
  <c r="Y27" i="46"/>
  <c r="Y39" i="45"/>
  <c r="AD31" i="36"/>
  <c r="AF153" i="36"/>
  <c r="AF155" i="36" s="1"/>
  <c r="AE155" i="36"/>
  <c r="X127" i="36"/>
  <c r="X99" i="36"/>
  <c r="X66" i="36"/>
  <c r="AH10" i="39"/>
  <c r="AI118" i="36"/>
  <c r="AI120" i="36" s="1"/>
  <c r="AI121" i="36" s="1"/>
  <c r="AD58" i="39"/>
  <c r="AE58" i="39" s="1"/>
  <c r="AF58" i="39" s="1"/>
  <c r="AG58" i="39" s="1"/>
  <c r="AB58" i="39"/>
  <c r="AA46" i="36"/>
  <c r="X8" i="38"/>
  <c r="X25" i="39"/>
  <c r="X12" i="39"/>
  <c r="AJ112" i="36"/>
  <c r="AJ110" i="36"/>
  <c r="AK115" i="36"/>
  <c r="AJ83" i="36"/>
  <c r="AI85" i="36"/>
  <c r="AI87" i="36" s="1"/>
  <c r="AI74" i="36"/>
  <c r="AH90" i="36"/>
  <c r="AF95" i="36"/>
  <c r="AF92" i="36"/>
  <c r="AF79" i="36"/>
  <c r="AH76" i="36"/>
  <c r="AH78" i="36" s="1"/>
  <c r="AI52" i="36"/>
  <c r="AI54" i="36" s="1"/>
  <c r="AJ50" i="36"/>
  <c r="AE41" i="36"/>
  <c r="AD57" i="36"/>
  <c r="AD59" i="36"/>
  <c r="AD46" i="36"/>
  <c r="AD62" i="36"/>
  <c r="AC46" i="36"/>
  <c r="AC62" i="36"/>
  <c r="AC62" i="42" s="1"/>
  <c r="AC59" i="36"/>
  <c r="AH136" i="36"/>
  <c r="W66" i="36"/>
  <c r="AG155" i="36"/>
  <c r="AM26" i="36"/>
  <c r="X140" i="36"/>
  <c r="Y10" i="36"/>
  <c r="Y8" i="36"/>
  <c r="Y60" i="36"/>
  <c r="AE31" i="36"/>
  <c r="AE30" i="36"/>
  <c r="AJ33" i="39" s="1"/>
  <c r="AG42" i="36"/>
  <c r="U17" i="36"/>
  <c r="U141" i="36" s="1"/>
  <c r="AL91" i="36"/>
  <c r="V131" i="36"/>
  <c r="W118" i="36"/>
  <c r="V120" i="36"/>
  <c r="AD134" i="36"/>
  <c r="W12" i="36"/>
  <c r="T142" i="36"/>
  <c r="W130" i="36"/>
  <c r="AI14" i="36"/>
  <c r="Z170" i="36"/>
  <c r="AJ7" i="36"/>
  <c r="AJ135" i="36" s="1"/>
  <c r="AK123" i="36"/>
  <c r="AG113" i="36"/>
  <c r="AG111" i="36"/>
  <c r="AI16" i="36"/>
  <c r="AI9" i="39" s="1"/>
  <c r="AI10" i="39" s="1"/>
  <c r="Y39" i="46" l="1"/>
  <c r="Y41" i="45"/>
  <c r="AV64" i="43"/>
  <c r="AJ118" i="36"/>
  <c r="AJ120" i="36" s="1"/>
  <c r="AJ121" i="36" s="1"/>
  <c r="AH58" i="39"/>
  <c r="AI58" i="39" s="1"/>
  <c r="Y8" i="38"/>
  <c r="Y15" i="39" s="1"/>
  <c r="Y25" i="39"/>
  <c r="Y12" i="39"/>
  <c r="X35" i="39"/>
  <c r="X14" i="38"/>
  <c r="X15" i="39"/>
  <c r="AL90" i="36"/>
  <c r="AK112" i="36"/>
  <c r="AM115" i="36"/>
  <c r="AK110" i="36"/>
  <c r="AJ85" i="36"/>
  <c r="AK83" i="36"/>
  <c r="AH95" i="36"/>
  <c r="AH92" i="36"/>
  <c r="AH79" i="36"/>
  <c r="AF93" i="36"/>
  <c r="AF97" i="36"/>
  <c r="AF100" i="36"/>
  <c r="AJ74" i="36"/>
  <c r="AJ76" i="36" s="1"/>
  <c r="AI90" i="36"/>
  <c r="AI76" i="36"/>
  <c r="AI78" i="36" s="1"/>
  <c r="AJ52" i="36"/>
  <c r="AK50" i="36"/>
  <c r="AE57" i="36"/>
  <c r="AF41" i="36"/>
  <c r="AC60" i="36"/>
  <c r="AC60" i="42" s="1"/>
  <c r="AC64" i="36"/>
  <c r="AC67" i="36"/>
  <c r="AC67" i="42" s="1"/>
  <c r="AD67" i="36"/>
  <c r="AD67" i="42" s="1"/>
  <c r="AD60" i="36"/>
  <c r="AD64" i="36"/>
  <c r="AE43" i="36"/>
  <c r="AI136" i="36"/>
  <c r="AM35" i="36"/>
  <c r="AL35" i="36"/>
  <c r="AH153" i="36" s="1"/>
  <c r="Y140" i="36"/>
  <c r="AF31" i="36"/>
  <c r="AG58" i="36"/>
  <c r="AF30" i="36"/>
  <c r="AK33" i="39" s="1"/>
  <c r="AN26" i="36"/>
  <c r="AA62" i="36"/>
  <c r="AA59" i="36"/>
  <c r="AA5" i="36"/>
  <c r="U19" i="36"/>
  <c r="U142" i="36" s="1"/>
  <c r="AQ75" i="36"/>
  <c r="AF6" i="36"/>
  <c r="W120" i="36"/>
  <c r="AQ51" i="36"/>
  <c r="W131" i="36"/>
  <c r="V121" i="36"/>
  <c r="Z18" i="36"/>
  <c r="AL129" i="36"/>
  <c r="AJ14" i="36"/>
  <c r="AA168" i="36"/>
  <c r="AL126" i="36"/>
  <c r="AL125" i="36"/>
  <c r="AM123" i="36"/>
  <c r="AK7" i="36"/>
  <c r="AL7" i="36" s="1"/>
  <c r="AL123" i="36"/>
  <c r="AL119" i="36"/>
  <c r="AL104" i="36"/>
  <c r="AJ16" i="36"/>
  <c r="AJ9" i="39" s="1"/>
  <c r="AJ10" i="39" s="1"/>
  <c r="Y6" i="43" l="1"/>
  <c r="Y41" i="46"/>
  <c r="Z40" i="45"/>
  <c r="AI153" i="36"/>
  <c r="AH155" i="36"/>
  <c r="AH30" i="36" s="1"/>
  <c r="AM33" i="39" s="1"/>
  <c r="AK118" i="36"/>
  <c r="AK120" i="36" s="1"/>
  <c r="AK121" i="36" s="1"/>
  <c r="AJ58" i="39"/>
  <c r="AJ58" i="46" s="1"/>
  <c r="Y35" i="39"/>
  <c r="X37" i="39"/>
  <c r="X37" i="38"/>
  <c r="Y7" i="39"/>
  <c r="AL33" i="39"/>
  <c r="AG57" i="36"/>
  <c r="AG139" i="36"/>
  <c r="AM110" i="36"/>
  <c r="AM112" i="36"/>
  <c r="AN115" i="36"/>
  <c r="AM83" i="36"/>
  <c r="AK85" i="36"/>
  <c r="AK87" i="36" s="1"/>
  <c r="AI95" i="36"/>
  <c r="AI79" i="36"/>
  <c r="AI92" i="36"/>
  <c r="AK74" i="36"/>
  <c r="AK76" i="36" s="1"/>
  <c r="AK78" i="36" s="1"/>
  <c r="AJ90" i="36"/>
  <c r="AH93" i="36"/>
  <c r="AH97" i="36"/>
  <c r="AH100" i="36"/>
  <c r="AM50" i="36"/>
  <c r="AK52" i="36"/>
  <c r="AK54" i="36" s="1"/>
  <c r="AF43" i="36"/>
  <c r="AF45" i="36" s="1"/>
  <c r="AH41" i="36"/>
  <c r="AH43" i="36" s="1"/>
  <c r="AH45" i="36" s="1"/>
  <c r="AF57" i="36"/>
  <c r="AV51" i="36"/>
  <c r="AA133" i="36"/>
  <c r="AO26" i="36"/>
  <c r="AN35" i="36"/>
  <c r="AA10" i="36"/>
  <c r="AA8" i="36"/>
  <c r="AA60" i="36"/>
  <c r="AC5" i="36"/>
  <c r="AQ84" i="36"/>
  <c r="AH6" i="36"/>
  <c r="AH134" i="36" s="1"/>
  <c r="W121" i="36"/>
  <c r="X118" i="36"/>
  <c r="X130" i="36"/>
  <c r="X12" i="36"/>
  <c r="AF134" i="36"/>
  <c r="AA170" i="36"/>
  <c r="AK14" i="36"/>
  <c r="AL14" i="36" s="1"/>
  <c r="AL128" i="36"/>
  <c r="AM7" i="36"/>
  <c r="AL124" i="36"/>
  <c r="AN123" i="36"/>
  <c r="AK135" i="36"/>
  <c r="AL115" i="36"/>
  <c r="AL116" i="36" s="1"/>
  <c r="AK16" i="36"/>
  <c r="AK9" i="39" s="1"/>
  <c r="AK10" i="39" s="1"/>
  <c r="AL10" i="39" s="1"/>
  <c r="AJ136" i="36"/>
  <c r="Z40" i="46" l="1"/>
  <c r="Y46" i="45"/>
  <c r="Y6" i="44"/>
  <c r="Z21" i="41"/>
  <c r="Y11" i="43"/>
  <c r="AH31" i="36"/>
  <c r="AJ153" i="36"/>
  <c r="AI155" i="36"/>
  <c r="AI30" i="36" s="1"/>
  <c r="AN33" i="39" s="1"/>
  <c r="Y14" i="38"/>
  <c r="Y99" i="36"/>
  <c r="Y127" i="36"/>
  <c r="Y66" i="36"/>
  <c r="AL9" i="39"/>
  <c r="AK58" i="39"/>
  <c r="Y37" i="38"/>
  <c r="AA8" i="38"/>
  <c r="AA25" i="39"/>
  <c r="AA12" i="39"/>
  <c r="Z7" i="39"/>
  <c r="Z99" i="36" s="1"/>
  <c r="Y37" i="39"/>
  <c r="AM57" i="39"/>
  <c r="AL57" i="39"/>
  <c r="AL57" i="46" s="1"/>
  <c r="AN112" i="36"/>
  <c r="AO115" i="36"/>
  <c r="AM118" i="36"/>
  <c r="AM120" i="36" s="1"/>
  <c r="AM121" i="36" s="1"/>
  <c r="AN110" i="36"/>
  <c r="AN83" i="36"/>
  <c r="AM85" i="36"/>
  <c r="AM87" i="36" s="1"/>
  <c r="AI93" i="36"/>
  <c r="AI97" i="36"/>
  <c r="AI100" i="36"/>
  <c r="AK79" i="36"/>
  <c r="AK95" i="36"/>
  <c r="AK92" i="36"/>
  <c r="AM74" i="36"/>
  <c r="AK90" i="36"/>
  <c r="AM52" i="36"/>
  <c r="AM54" i="36" s="1"/>
  <c r="AN50" i="36"/>
  <c r="AH57" i="36"/>
  <c r="AI41" i="36"/>
  <c r="AI43" i="36" s="1"/>
  <c r="AI45" i="36" s="1"/>
  <c r="AH59" i="36"/>
  <c r="AH46" i="36"/>
  <c r="AH62" i="36"/>
  <c r="AH62" i="42" s="1"/>
  <c r="AF46" i="36"/>
  <c r="AF62" i="36"/>
  <c r="AF62" i="42" s="1"/>
  <c r="AF59" i="36"/>
  <c r="AK136" i="36"/>
  <c r="AV75" i="36"/>
  <c r="AP26" i="36"/>
  <c r="AR26" i="36" s="1"/>
  <c r="AC133" i="36"/>
  <c r="AC8" i="36"/>
  <c r="AG41" i="36"/>
  <c r="AA140" i="36"/>
  <c r="AL42" i="36"/>
  <c r="AC10" i="36"/>
  <c r="AC10" i="42" s="1"/>
  <c r="AO35" i="36"/>
  <c r="AP35" i="36" s="1"/>
  <c r="AD5" i="36"/>
  <c r="AL16" i="36"/>
  <c r="AL74" i="36"/>
  <c r="AL83" i="36"/>
  <c r="AQ91" i="36"/>
  <c r="Y118" i="36"/>
  <c r="AL50" i="36"/>
  <c r="X120" i="36"/>
  <c r="X131" i="36"/>
  <c r="AI6" i="36"/>
  <c r="AI134" i="36" s="1"/>
  <c r="AM14" i="36"/>
  <c r="AC168" i="36"/>
  <c r="AA18" i="36"/>
  <c r="AM135" i="36"/>
  <c r="AN7" i="36"/>
  <c r="AO123" i="36"/>
  <c r="AL112" i="36"/>
  <c r="AL110" i="36"/>
  <c r="AM16" i="36"/>
  <c r="AM9" i="39" s="1"/>
  <c r="AL58" i="39" l="1"/>
  <c r="AL58" i="46" s="1"/>
  <c r="AK58" i="46"/>
  <c r="Y48" i="45"/>
  <c r="Y48" i="46" s="1"/>
  <c r="Y46" i="46"/>
  <c r="Z21" i="42"/>
  <c r="Z23" i="41"/>
  <c r="Y20" i="43"/>
  <c r="Y11" i="44"/>
  <c r="AI31" i="36"/>
  <c r="AK153" i="36"/>
  <c r="AK155" i="36" s="1"/>
  <c r="AK155" i="42" s="1"/>
  <c r="AJ155" i="36"/>
  <c r="AJ155" i="42" s="1"/>
  <c r="Z127" i="36"/>
  <c r="Z66" i="36"/>
  <c r="AM10" i="39"/>
  <c r="AN118" i="36"/>
  <c r="AN120" i="36" s="1"/>
  <c r="AN121" i="36" s="1"/>
  <c r="AC25" i="39"/>
  <c r="AC8" i="38"/>
  <c r="AC15" i="39" s="1"/>
  <c r="AC12" i="39"/>
  <c r="AB8" i="38"/>
  <c r="AN57" i="39"/>
  <c r="AQ90" i="36"/>
  <c r="AP115" i="36"/>
  <c r="AO110" i="36"/>
  <c r="AO112" i="36"/>
  <c r="AO83" i="36"/>
  <c r="AN85" i="36"/>
  <c r="AN87" i="36" s="1"/>
  <c r="AN74" i="36"/>
  <c r="AN76" i="36" s="1"/>
  <c r="AN78" i="36" s="1"/>
  <c r="AM90" i="36"/>
  <c r="AK100" i="36"/>
  <c r="AK93" i="36"/>
  <c r="AK97" i="36"/>
  <c r="AM76" i="36"/>
  <c r="AM78" i="36" s="1"/>
  <c r="AN52" i="36"/>
  <c r="AN54" i="36" s="1"/>
  <c r="AO50" i="36"/>
  <c r="AF67" i="36"/>
  <c r="AF60" i="36"/>
  <c r="AF60" i="42" s="1"/>
  <c r="AF64" i="36"/>
  <c r="AI62" i="36"/>
  <c r="AI46" i="36"/>
  <c r="AI59" i="36"/>
  <c r="AH64" i="36"/>
  <c r="AH60" i="36"/>
  <c r="AH60" i="42" s="1"/>
  <c r="AH67" i="36"/>
  <c r="AH67" i="42" s="1"/>
  <c r="AJ41" i="36"/>
  <c r="AI57" i="36"/>
  <c r="AJ43" i="36"/>
  <c r="AV84" i="36"/>
  <c r="AV91" i="36" s="1"/>
  <c r="AS26" i="36"/>
  <c r="AT26" i="36" s="1"/>
  <c r="AU26" i="36" s="1"/>
  <c r="AV26" i="36" s="1"/>
  <c r="AR123" i="36"/>
  <c r="AD10" i="36"/>
  <c r="AQ26" i="36"/>
  <c r="AL58" i="36"/>
  <c r="AD8" i="36"/>
  <c r="AC140" i="36"/>
  <c r="AD133" i="36"/>
  <c r="Y12" i="36"/>
  <c r="Y120" i="36"/>
  <c r="Y130" i="36"/>
  <c r="X121" i="36"/>
  <c r="AN14" i="36"/>
  <c r="AC170" i="36"/>
  <c r="AB18" i="36"/>
  <c r="AN135" i="36"/>
  <c r="AP123" i="36"/>
  <c r="AQ123" i="36" s="1"/>
  <c r="AO7" i="36"/>
  <c r="AO135" i="36" s="1"/>
  <c r="AL111" i="36"/>
  <c r="AL113" i="36"/>
  <c r="AN16" i="36"/>
  <c r="AN9" i="39" s="1"/>
  <c r="AN10" i="39" s="1"/>
  <c r="AM136" i="36"/>
  <c r="AJ30" i="36" l="1"/>
  <c r="Y43" i="43"/>
  <c r="Y43" i="44" s="1"/>
  <c r="Y20" i="44"/>
  <c r="Z23" i="42"/>
  <c r="Z24" i="41"/>
  <c r="Z25" i="41"/>
  <c r="AJ31" i="36"/>
  <c r="AL155" i="36"/>
  <c r="AL155" i="42" s="1"/>
  <c r="AD25" i="39"/>
  <c r="AD8" i="38"/>
  <c r="AD15" i="39" s="1"/>
  <c r="AD12" i="39"/>
  <c r="AL57" i="36"/>
  <c r="AL139" i="36"/>
  <c r="AO118" i="36"/>
  <c r="AO120" i="36" s="1"/>
  <c r="AO121" i="36" s="1"/>
  <c r="AP112" i="36"/>
  <c r="AP110" i="36"/>
  <c r="AR115" i="36"/>
  <c r="AO85" i="36"/>
  <c r="AP83" i="36"/>
  <c r="AM79" i="36"/>
  <c r="AM95" i="36"/>
  <c r="AM92" i="36"/>
  <c r="AN95" i="36"/>
  <c r="AN79" i="36"/>
  <c r="AN92" i="36"/>
  <c r="AO74" i="36"/>
  <c r="AO76" i="36" s="1"/>
  <c r="AN90" i="36"/>
  <c r="AO52" i="36"/>
  <c r="AP50" i="36"/>
  <c r="AJ57" i="36"/>
  <c r="AK41" i="36"/>
  <c r="AI60" i="36"/>
  <c r="AI67" i="36"/>
  <c r="AI67" i="42" s="1"/>
  <c r="AI64" i="36"/>
  <c r="AN136" i="36"/>
  <c r="AQ35" i="36"/>
  <c r="AM153" i="36" s="1"/>
  <c r="AR35" i="36"/>
  <c r="AS123" i="36"/>
  <c r="AR7" i="36"/>
  <c r="AK30" i="36"/>
  <c r="AD140" i="36"/>
  <c r="AF5" i="36"/>
  <c r="AF133" i="36" s="1"/>
  <c r="Z118" i="36"/>
  <c r="Z120" i="36" s="1"/>
  <c r="AK6" i="36"/>
  <c r="AK134" i="36" s="1"/>
  <c r="Y121" i="36"/>
  <c r="Z12" i="36"/>
  <c r="Y131" i="36"/>
  <c r="Z130" i="36"/>
  <c r="AC18" i="36"/>
  <c r="AO14" i="36"/>
  <c r="AD168" i="36"/>
  <c r="AP7" i="36"/>
  <c r="AP135" i="36" s="1"/>
  <c r="AQ124" i="36"/>
  <c r="AO16" i="36"/>
  <c r="AO9" i="39" s="1"/>
  <c r="AO10" i="39" s="1"/>
  <c r="AK31" i="36" l="1"/>
  <c r="AK31" i="42" s="1"/>
  <c r="AJ31" i="42"/>
  <c r="AP33" i="39"/>
  <c r="AP33" i="46" s="1"/>
  <c r="AK30" i="42"/>
  <c r="AO33" i="39"/>
  <c r="AJ30" i="42"/>
  <c r="Z24" i="42"/>
  <c r="Z29" i="41"/>
  <c r="Z6" i="45"/>
  <c r="Z25" i="42"/>
  <c r="Z27" i="41"/>
  <c r="AN153" i="36"/>
  <c r="AM155" i="36"/>
  <c r="AP118" i="36"/>
  <c r="AP120" i="36" s="1"/>
  <c r="AP121" i="36" s="1"/>
  <c r="AP57" i="39"/>
  <c r="AP57" i="46" s="1"/>
  <c r="AQ33" i="39"/>
  <c r="AQ33" i="46" s="1"/>
  <c r="AS115" i="36"/>
  <c r="AR112" i="36"/>
  <c r="AR110" i="36"/>
  <c r="AR83" i="36"/>
  <c r="AP85" i="36"/>
  <c r="AP87" i="36" s="1"/>
  <c r="AO90" i="36"/>
  <c r="AP74" i="36"/>
  <c r="AM100" i="36"/>
  <c r="AM97" i="36"/>
  <c r="AM93" i="36"/>
  <c r="AN97" i="36"/>
  <c r="AN100" i="36"/>
  <c r="AN93" i="36"/>
  <c r="AR50" i="36"/>
  <c r="AP52" i="36"/>
  <c r="AP54" i="36" s="1"/>
  <c r="AK43" i="36"/>
  <c r="AK45" i="36" s="1"/>
  <c r="AM41" i="36"/>
  <c r="AM43" i="36" s="1"/>
  <c r="AM45" i="36" s="1"/>
  <c r="AK57" i="36"/>
  <c r="AO136" i="36"/>
  <c r="AQ125" i="36"/>
  <c r="AR135" i="36"/>
  <c r="AS35" i="36"/>
  <c r="AR16" i="36"/>
  <c r="AR9" i="39" s="1"/>
  <c r="AR14" i="36"/>
  <c r="AV126" i="36"/>
  <c r="AQ128" i="36"/>
  <c r="AS7" i="36"/>
  <c r="AS135" i="36" s="1"/>
  <c r="AU123" i="36"/>
  <c r="AU7" i="36" s="1"/>
  <c r="AU135" i="36" s="1"/>
  <c r="AT123" i="36"/>
  <c r="AT7" i="36" s="1"/>
  <c r="AT135" i="36" s="1"/>
  <c r="AH5" i="36"/>
  <c r="AQ126" i="36"/>
  <c r="AM31" i="36"/>
  <c r="AM31" i="42" s="1"/>
  <c r="AM30" i="36"/>
  <c r="AF10" i="36"/>
  <c r="AF10" i="42" s="1"/>
  <c r="AF8" i="36"/>
  <c r="AQ115" i="36"/>
  <c r="AQ116" i="36" s="1"/>
  <c r="Z131" i="36"/>
  <c r="AM6" i="36"/>
  <c r="Z121" i="36"/>
  <c r="AD170" i="36"/>
  <c r="AP14" i="36"/>
  <c r="AQ129" i="36"/>
  <c r="AQ7" i="36"/>
  <c r="AQ119" i="36"/>
  <c r="AP16" i="36"/>
  <c r="AP9" i="39" s="1"/>
  <c r="AP10" i="39" s="1"/>
  <c r="AQ10" i="39" s="1"/>
  <c r="AQ104" i="36"/>
  <c r="AO33" i="46" l="1"/>
  <c r="AO57" i="39"/>
  <c r="AO57" i="46" s="1"/>
  <c r="AR33" i="39"/>
  <c r="AR33" i="46" s="1"/>
  <c r="AM30" i="42"/>
  <c r="Z34" i="41"/>
  <c r="Z29" i="42"/>
  <c r="Z33" i="41"/>
  <c r="Z32" i="41"/>
  <c r="Z32" i="42" s="1"/>
  <c r="Z27" i="42"/>
  <c r="Z6" i="46"/>
  <c r="Z22" i="45"/>
  <c r="Z38" i="43"/>
  <c r="AO153" i="36"/>
  <c r="AN155" i="36"/>
  <c r="AR118" i="36"/>
  <c r="AR120" i="36" s="1"/>
  <c r="AR121" i="36" s="1"/>
  <c r="AQ9" i="39"/>
  <c r="AR10" i="39"/>
  <c r="AF25" i="39"/>
  <c r="AF8" i="38"/>
  <c r="AF12" i="39"/>
  <c r="AR57" i="39"/>
  <c r="AR57" i="46" s="1"/>
  <c r="AQ57" i="39"/>
  <c r="AQ57" i="46" s="1"/>
  <c r="AS110" i="36"/>
  <c r="AS112" i="36"/>
  <c r="AS118" i="36" s="1"/>
  <c r="AS120" i="36" s="1"/>
  <c r="AS121" i="36" s="1"/>
  <c r="AT115" i="36"/>
  <c r="AU115" i="36"/>
  <c r="AR85" i="36"/>
  <c r="AR87" i="36" s="1"/>
  <c r="AS83" i="36"/>
  <c r="AP76" i="36"/>
  <c r="AP78" i="36" s="1"/>
  <c r="AR74" i="36"/>
  <c r="AP90" i="36"/>
  <c r="AV90" i="36" s="1"/>
  <c r="AR52" i="36"/>
  <c r="AR54" i="36" s="1"/>
  <c r="AS50" i="36"/>
  <c r="AM46" i="36"/>
  <c r="AM62" i="36"/>
  <c r="AM62" i="42" s="1"/>
  <c r="AM59" i="36"/>
  <c r="AN41" i="36"/>
  <c r="AN43" i="36"/>
  <c r="AN45" i="36" s="1"/>
  <c r="AM57" i="36"/>
  <c r="AK62" i="36"/>
  <c r="AK62" i="42" s="1"/>
  <c r="AK46" i="36"/>
  <c r="AK59" i="36"/>
  <c r="AR136" i="36"/>
  <c r="AQ16" i="36"/>
  <c r="AV123" i="36"/>
  <c r="AV124" i="36" s="1"/>
  <c r="AV7" i="36"/>
  <c r="AS16" i="36"/>
  <c r="AS9" i="39" s="1"/>
  <c r="AS10" i="39" s="1"/>
  <c r="AS14" i="36"/>
  <c r="AT35" i="36"/>
  <c r="AU35" i="36" s="1"/>
  <c r="AH10" i="36"/>
  <c r="AH10" i="42" s="1"/>
  <c r="AQ42" i="36"/>
  <c r="AH133" i="36"/>
  <c r="AH8" i="36"/>
  <c r="AI5" i="36"/>
  <c r="AI133" i="36" s="1"/>
  <c r="AF140" i="36"/>
  <c r="AN31" i="36"/>
  <c r="AN31" i="42" s="1"/>
  <c r="AN30" i="36"/>
  <c r="AL41" i="36"/>
  <c r="AP136" i="36"/>
  <c r="AQ74" i="36"/>
  <c r="AQ83" i="36"/>
  <c r="AM134" i="36"/>
  <c r="AN6" i="36"/>
  <c r="AQ50" i="36"/>
  <c r="AE168" i="36"/>
  <c r="AQ14" i="36"/>
  <c r="AD18" i="36"/>
  <c r="AQ112" i="36"/>
  <c r="AQ110" i="36"/>
  <c r="AS33" i="39" l="1"/>
  <c r="AS33" i="46" s="1"/>
  <c r="AN30" i="42"/>
  <c r="Z38" i="44"/>
  <c r="Z41" i="43"/>
  <c r="Z33" i="42"/>
  <c r="Z146" i="41"/>
  <c r="Z146" i="42" s="1"/>
  <c r="Z55" i="45"/>
  <c r="Z22" i="46"/>
  <c r="Z147" i="41"/>
  <c r="Z147" i="42" s="1"/>
  <c r="Z34" i="42"/>
  <c r="AP153" i="36"/>
  <c r="AO155" i="36"/>
  <c r="AH25" i="39"/>
  <c r="AH8" i="38"/>
  <c r="AH15" i="39" s="1"/>
  <c r="AH12" i="39"/>
  <c r="AG8" i="38"/>
  <c r="AS57" i="39"/>
  <c r="AS57" i="46" s="1"/>
  <c r="AT110" i="36"/>
  <c r="AU110" i="36"/>
  <c r="AU112" i="36"/>
  <c r="AT112" i="36"/>
  <c r="AS85" i="36"/>
  <c r="AS87" i="36" s="1"/>
  <c r="AT83" i="36"/>
  <c r="AS74" i="36"/>
  <c r="AS76" i="36" s="1"/>
  <c r="AS78" i="36" s="1"/>
  <c r="AR90" i="36"/>
  <c r="AR76" i="36"/>
  <c r="AR78" i="36" s="1"/>
  <c r="AP95" i="36"/>
  <c r="AP79" i="36"/>
  <c r="AP92" i="36"/>
  <c r="AS52" i="36"/>
  <c r="AS54" i="36" s="1"/>
  <c r="AT50" i="36"/>
  <c r="AK60" i="36"/>
  <c r="AK60" i="42" s="1"/>
  <c r="AK64" i="36"/>
  <c r="AK67" i="36"/>
  <c r="AN46" i="36"/>
  <c r="AN62" i="36"/>
  <c r="AN59" i="36"/>
  <c r="AO41" i="36"/>
  <c r="AN57" i="36"/>
  <c r="AM67" i="36"/>
  <c r="AM67" i="42" s="1"/>
  <c r="AM60" i="36"/>
  <c r="AM60" i="42" s="1"/>
  <c r="AM64" i="36"/>
  <c r="AV115" i="36"/>
  <c r="AV116" i="36" s="1"/>
  <c r="AT16" i="36"/>
  <c r="AT9" i="39" s="1"/>
  <c r="AT10" i="39" s="1"/>
  <c r="AV104" i="36"/>
  <c r="AV128" i="36"/>
  <c r="AV119" i="36"/>
  <c r="AR6" i="36"/>
  <c r="AR134" i="36" s="1"/>
  <c r="AS136" i="36"/>
  <c r="AU14" i="36"/>
  <c r="AT14" i="36"/>
  <c r="AQ58" i="36"/>
  <c r="AO31" i="36"/>
  <c r="AO31" i="42" s="1"/>
  <c r="AH140" i="36"/>
  <c r="AO30" i="36"/>
  <c r="AI8" i="36"/>
  <c r="AI10" i="36"/>
  <c r="S23" i="36"/>
  <c r="S143" i="36" s="1"/>
  <c r="AN134" i="36"/>
  <c r="AE170" i="36"/>
  <c r="AQ111" i="36"/>
  <c r="AQ113" i="36"/>
  <c r="AT33" i="39" l="1"/>
  <c r="AT33" i="46" s="1"/>
  <c r="AO30" i="42"/>
  <c r="Z41" i="44"/>
  <c r="Z62" i="43"/>
  <c r="Z62" i="44" s="1"/>
  <c r="Z42" i="43"/>
  <c r="Z55" i="46"/>
  <c r="Z148" i="41"/>
  <c r="Z148" i="42" s="1"/>
  <c r="AP155" i="36"/>
  <c r="AQ155" i="36" s="1"/>
  <c r="AI25" i="39"/>
  <c r="AI8" i="38"/>
  <c r="AI15" i="39" s="1"/>
  <c r="AI12" i="39"/>
  <c r="AT57" i="39"/>
  <c r="AT57" i="46" s="1"/>
  <c r="AQ57" i="36"/>
  <c r="AQ139" i="36"/>
  <c r="AU118" i="36"/>
  <c r="AU120" i="36" s="1"/>
  <c r="AU121" i="36" s="1"/>
  <c r="AT118" i="36"/>
  <c r="AT120" i="36" s="1"/>
  <c r="AT121" i="36" s="1"/>
  <c r="AT85" i="36"/>
  <c r="AU83" i="36"/>
  <c r="AU85" i="36" s="1"/>
  <c r="AU87" i="36" s="1"/>
  <c r="AS79" i="36"/>
  <c r="AS95" i="36"/>
  <c r="AS92" i="36"/>
  <c r="AP100" i="36"/>
  <c r="AP93" i="36"/>
  <c r="AP97" i="36"/>
  <c r="AR95" i="36"/>
  <c r="AR79" i="36"/>
  <c r="AR92" i="36"/>
  <c r="AT74" i="36"/>
  <c r="AT76" i="36" s="1"/>
  <c r="AS90" i="36"/>
  <c r="AU50" i="36"/>
  <c r="AU52" i="36" s="1"/>
  <c r="AU54" i="36" s="1"/>
  <c r="AT52" i="36"/>
  <c r="AN64" i="36"/>
  <c r="AN60" i="36"/>
  <c r="AN67" i="36"/>
  <c r="AN67" i="42" s="1"/>
  <c r="AP41" i="36"/>
  <c r="AO57" i="36"/>
  <c r="AO43" i="36"/>
  <c r="AV129" i="36"/>
  <c r="AV35" i="36"/>
  <c r="AR153" i="36" s="1"/>
  <c r="AR155" i="36" s="1"/>
  <c r="AT136" i="36"/>
  <c r="AV112" i="36"/>
  <c r="AV113" i="36" s="1"/>
  <c r="AV110" i="36"/>
  <c r="AV111" i="36" s="1"/>
  <c r="AV14" i="36"/>
  <c r="AU16" i="36"/>
  <c r="AU9" i="39" s="1"/>
  <c r="AU10" i="39" s="1"/>
  <c r="AV10" i="39" s="1"/>
  <c r="AS6" i="36"/>
  <c r="AS134" i="36" s="1"/>
  <c r="AP31" i="36"/>
  <c r="AP31" i="42" s="1"/>
  <c r="AI140" i="36"/>
  <c r="AP30" i="36"/>
  <c r="AK5" i="36"/>
  <c r="AK133" i="36" s="1"/>
  <c r="AP6" i="36"/>
  <c r="AP134" i="36" s="1"/>
  <c r="AE18" i="36"/>
  <c r="AF168" i="36"/>
  <c r="AU33" i="39" l="1"/>
  <c r="AU33" i="46" s="1"/>
  <c r="AP30" i="42"/>
  <c r="Z42" i="44"/>
  <c r="Z12" i="43"/>
  <c r="Z12" i="44" s="1"/>
  <c r="Z7" i="43"/>
  <c r="Z17" i="43"/>
  <c r="AR31" i="36"/>
  <c r="AR31" i="42" s="1"/>
  <c r="AS153" i="36"/>
  <c r="AV9" i="39"/>
  <c r="AU57" i="39"/>
  <c r="AU57" i="46" s="1"/>
  <c r="AV33" i="39"/>
  <c r="AV33" i="46" s="1"/>
  <c r="AU74" i="36"/>
  <c r="AU90" i="36" s="1"/>
  <c r="AT90" i="36"/>
  <c r="AR100" i="36"/>
  <c r="AR97" i="36"/>
  <c r="AR93" i="36"/>
  <c r="AS100" i="36"/>
  <c r="AS97" i="36"/>
  <c r="AS93" i="36"/>
  <c r="AP43" i="36"/>
  <c r="AP45" i="36" s="1"/>
  <c r="AR41" i="36"/>
  <c r="AR43" i="36"/>
  <c r="AR45" i="36" s="1"/>
  <c r="AP57" i="36"/>
  <c r="AR30" i="36"/>
  <c r="AR30" i="42" s="1"/>
  <c r="AV16" i="36"/>
  <c r="AU136" i="36"/>
  <c r="AV50" i="36"/>
  <c r="AV83" i="36"/>
  <c r="AV125" i="36"/>
  <c r="AV42" i="36"/>
  <c r="AV58" i="36" s="1"/>
  <c r="S25" i="36"/>
  <c r="S29" i="36"/>
  <c r="AK10" i="36"/>
  <c r="AK10" i="42" s="1"/>
  <c r="AM5" i="36"/>
  <c r="AK8" i="36"/>
  <c r="AF170" i="36"/>
  <c r="Z26" i="45" l="1"/>
  <c r="Z17" i="44"/>
  <c r="Z7" i="44"/>
  <c r="Z24" i="45"/>
  <c r="AT153" i="36"/>
  <c r="AS155" i="36"/>
  <c r="AK8" i="38"/>
  <c r="AK25" i="39"/>
  <c r="AK12" i="39"/>
  <c r="AV57" i="39"/>
  <c r="AV57" i="46" s="1"/>
  <c r="AU76" i="36"/>
  <c r="AU78" i="36" s="1"/>
  <c r="AV57" i="36"/>
  <c r="AR59" i="36"/>
  <c r="AR62" i="36"/>
  <c r="AR62" i="42" s="1"/>
  <c r="AR46" i="36"/>
  <c r="AR57" i="36"/>
  <c r="AS41" i="36"/>
  <c r="AP46" i="36"/>
  <c r="AP62" i="36"/>
  <c r="AP62" i="42" s="1"/>
  <c r="AP59" i="36"/>
  <c r="AU6" i="36"/>
  <c r="AU134" i="36" s="1"/>
  <c r="AV74" i="36"/>
  <c r="AM8" i="36"/>
  <c r="AQ41" i="36"/>
  <c r="AV139" i="36" s="1"/>
  <c r="AK140" i="36"/>
  <c r="S34" i="36"/>
  <c r="AN5" i="36"/>
  <c r="AN133" i="36" s="1"/>
  <c r="S27" i="36"/>
  <c r="AM133" i="36"/>
  <c r="AM10" i="36"/>
  <c r="AM10" i="42" s="1"/>
  <c r="AH168" i="36"/>
  <c r="AF18" i="36"/>
  <c r="Z24" i="46" l="1"/>
  <c r="Z27" i="45"/>
  <c r="Z26" i="46"/>
  <c r="AS31" i="36"/>
  <c r="AS31" i="42" s="1"/>
  <c r="AS30" i="36"/>
  <c r="AS30" i="42" s="1"/>
  <c r="AU153" i="36"/>
  <c r="AU155" i="36" s="1"/>
  <c r="AT155" i="36"/>
  <c r="AU79" i="36"/>
  <c r="AM25" i="39"/>
  <c r="AM8" i="38"/>
  <c r="AM15" i="39" s="1"/>
  <c r="AM12" i="39"/>
  <c r="AL8" i="38"/>
  <c r="AU92" i="36"/>
  <c r="AU93" i="36" s="1"/>
  <c r="AU95" i="36"/>
  <c r="AT41" i="36"/>
  <c r="AT43" i="36"/>
  <c r="AS57" i="36"/>
  <c r="AS43" i="36"/>
  <c r="AS45" i="36" s="1"/>
  <c r="AP60" i="36"/>
  <c r="AP60" i="42" s="1"/>
  <c r="AP64" i="36"/>
  <c r="AP67" i="36"/>
  <c r="AR67" i="36"/>
  <c r="AR67" i="42" s="1"/>
  <c r="AR64" i="36"/>
  <c r="AR60" i="36"/>
  <c r="AR60" i="42" s="1"/>
  <c r="AN10" i="36"/>
  <c r="AM140" i="36"/>
  <c r="S147" i="36"/>
  <c r="S32" i="36"/>
  <c r="S33" i="36"/>
  <c r="S146" i="36" s="1"/>
  <c r="AN8" i="36"/>
  <c r="AG18" i="36"/>
  <c r="AH170" i="36"/>
  <c r="Z27" i="46" l="1"/>
  <c r="Z39" i="45"/>
  <c r="AT30" i="36"/>
  <c r="AV155" i="36"/>
  <c r="AT31" i="36"/>
  <c r="AU100" i="36"/>
  <c r="AU97" i="36"/>
  <c r="AN8" i="38"/>
  <c r="AN15" i="39" s="1"/>
  <c r="AN25" i="39"/>
  <c r="AN12" i="39"/>
  <c r="AS46" i="36"/>
  <c r="AS62" i="36"/>
  <c r="AS10" i="36" s="1"/>
  <c r="AS59" i="36"/>
  <c r="AT57" i="36"/>
  <c r="AU41" i="36"/>
  <c r="AU57" i="36" s="1"/>
  <c r="AR5" i="36"/>
  <c r="AR8" i="36" s="1"/>
  <c r="AR10" i="36"/>
  <c r="AR10" i="42" s="1"/>
  <c r="AS5" i="36"/>
  <c r="AP5" i="36"/>
  <c r="AN140" i="36"/>
  <c r="AI168" i="36"/>
  <c r="AH18" i="36"/>
  <c r="AU31" i="36" l="1"/>
  <c r="AU31" i="42" s="1"/>
  <c r="AT31" i="42"/>
  <c r="AU30" i="36"/>
  <c r="AU30" i="42" s="1"/>
  <c r="AT30" i="42"/>
  <c r="Z39" i="46"/>
  <c r="Z41" i="45"/>
  <c r="AR25" i="39"/>
  <c r="AR8" i="38"/>
  <c r="AR12" i="39"/>
  <c r="AU43" i="36"/>
  <c r="AU45" i="36" s="1"/>
  <c r="AS67" i="36"/>
  <c r="AS67" i="42" s="1"/>
  <c r="AS64" i="36"/>
  <c r="AS60" i="36"/>
  <c r="AR140" i="36"/>
  <c r="AR133" i="36"/>
  <c r="AS133" i="36"/>
  <c r="AS8" i="36"/>
  <c r="AV41" i="36"/>
  <c r="AP133" i="36"/>
  <c r="AP8" i="36"/>
  <c r="AP10" i="36"/>
  <c r="AP10" i="42" s="1"/>
  <c r="AI170" i="36"/>
  <c r="Z6" i="43" l="1"/>
  <c r="AA40" i="45"/>
  <c r="Z41" i="46"/>
  <c r="AS8" i="38"/>
  <c r="AS15" i="39" s="1"/>
  <c r="AS25" i="39"/>
  <c r="AS12" i="39"/>
  <c r="AP25" i="39"/>
  <c r="AP8" i="38"/>
  <c r="AP12" i="39"/>
  <c r="AU62" i="36"/>
  <c r="AU46" i="36"/>
  <c r="AU59" i="36"/>
  <c r="AS140" i="36"/>
  <c r="AU5" i="36"/>
  <c r="AU133" i="36" s="1"/>
  <c r="AP140" i="36"/>
  <c r="AJ168" i="36"/>
  <c r="AI18" i="36"/>
  <c r="AU10" i="36" l="1"/>
  <c r="AU10" i="42" s="1"/>
  <c r="AU62" i="42"/>
  <c r="AA40" i="46"/>
  <c r="Z46" i="45"/>
  <c r="Z6" i="44"/>
  <c r="AA21" i="41"/>
  <c r="Z11" i="43"/>
  <c r="AQ8" i="38"/>
  <c r="AR15" i="39"/>
  <c r="AU67" i="36"/>
  <c r="AU64" i="36"/>
  <c r="AU60" i="36"/>
  <c r="AU60" i="42" s="1"/>
  <c r="AU8" i="36"/>
  <c r="AJ170" i="36"/>
  <c r="Z20" i="43" l="1"/>
  <c r="Z11" i="44"/>
  <c r="AA21" i="42"/>
  <c r="AA23" i="41"/>
  <c r="AB21" i="41"/>
  <c r="Z48" i="45"/>
  <c r="Z48" i="46" s="1"/>
  <c r="Z46" i="46"/>
  <c r="AU8" i="38"/>
  <c r="AU25" i="39"/>
  <c r="AU12" i="39"/>
  <c r="AU140" i="36"/>
  <c r="AJ18" i="36"/>
  <c r="AK168" i="36"/>
  <c r="AB21" i="42" l="1"/>
  <c r="AB23" i="41"/>
  <c r="AA23" i="42"/>
  <c r="AA24" i="41"/>
  <c r="Z43" i="43"/>
  <c r="Z43" i="44" s="1"/>
  <c r="Z20" i="44"/>
  <c r="AV8" i="38"/>
  <c r="AK170" i="36"/>
  <c r="AA25" i="41" l="1"/>
  <c r="AA24" i="42"/>
  <c r="AB24" i="41"/>
  <c r="AA29" i="41"/>
  <c r="AB23" i="42"/>
  <c r="AB25" i="41"/>
  <c r="AM168" i="36"/>
  <c r="AK18" i="36"/>
  <c r="AB27" i="41" l="1"/>
  <c r="AB25" i="42"/>
  <c r="AA34" i="41"/>
  <c r="AA29" i="42"/>
  <c r="AB24" i="42"/>
  <c r="AB143" i="41"/>
  <c r="AB143" i="42" s="1"/>
  <c r="AB29" i="41"/>
  <c r="AA25" i="42"/>
  <c r="AA27" i="41"/>
  <c r="AA6" i="45"/>
  <c r="AL18" i="36"/>
  <c r="AM170" i="36"/>
  <c r="AA22" i="45" l="1"/>
  <c r="AA6" i="46"/>
  <c r="AB6" i="45"/>
  <c r="AA38" i="43"/>
  <c r="AA27" i="42"/>
  <c r="AA32" i="41"/>
  <c r="AA32" i="42" s="1"/>
  <c r="AA33" i="41"/>
  <c r="AB29" i="42"/>
  <c r="AA147" i="41"/>
  <c r="AA147" i="42" s="1"/>
  <c r="AA34" i="42"/>
  <c r="AB27" i="42"/>
  <c r="AB31" i="41"/>
  <c r="AB30" i="41"/>
  <c r="AN168" i="36"/>
  <c r="AM18" i="36"/>
  <c r="AB32" i="41" l="1"/>
  <c r="AB32" i="42" s="1"/>
  <c r="AB30" i="42"/>
  <c r="AA146" i="41"/>
  <c r="AA146" i="42" s="1"/>
  <c r="AA33" i="42"/>
  <c r="AB33" i="41"/>
  <c r="AB31" i="42"/>
  <c r="AB34" i="41"/>
  <c r="AA38" i="44"/>
  <c r="AB38" i="43"/>
  <c r="AA41" i="43"/>
  <c r="AB22" i="45"/>
  <c r="AB6" i="46"/>
  <c r="AA22" i="46"/>
  <c r="AA55" i="45"/>
  <c r="T23" i="36"/>
  <c r="T143" i="36" s="1"/>
  <c r="AN170" i="36"/>
  <c r="AB55" i="45" l="1"/>
  <c r="AB22" i="46"/>
  <c r="AB38" i="44"/>
  <c r="AB41" i="43"/>
  <c r="AB146" i="41"/>
  <c r="AB146" i="42" s="1"/>
  <c r="AB33" i="42"/>
  <c r="AB36" i="41"/>
  <c r="AB36" i="42" s="1"/>
  <c r="AB147" i="41"/>
  <c r="AB147" i="42" s="1"/>
  <c r="AB34" i="42"/>
  <c r="AA148" i="41"/>
  <c r="AA148" i="42" s="1"/>
  <c r="AA55" i="46"/>
  <c r="AA42" i="43"/>
  <c r="AA41" i="44"/>
  <c r="AA62" i="43"/>
  <c r="AA62" i="44" s="1"/>
  <c r="AN18" i="36"/>
  <c r="AO168" i="36"/>
  <c r="AA42" i="44" l="1"/>
  <c r="AA12" i="43"/>
  <c r="AA7" i="43"/>
  <c r="AA17" i="43"/>
  <c r="AB41" i="44"/>
  <c r="AB42" i="43"/>
  <c r="AB42" i="44" s="1"/>
  <c r="AB148" i="41"/>
  <c r="AB148" i="42" s="1"/>
  <c r="AB55" i="46"/>
  <c r="T25" i="36"/>
  <c r="T29" i="36"/>
  <c r="AO170" i="36"/>
  <c r="AA24" i="45" l="1"/>
  <c r="AA7" i="44"/>
  <c r="AB7" i="43"/>
  <c r="AA17" i="44"/>
  <c r="AA26" i="45"/>
  <c r="AB17" i="43"/>
  <c r="AB17" i="44" s="1"/>
  <c r="AB12" i="43"/>
  <c r="AB12" i="44" s="1"/>
  <c r="AA12" i="44"/>
  <c r="T34" i="36"/>
  <c r="T27" i="36"/>
  <c r="AP168" i="36"/>
  <c r="AO18" i="36"/>
  <c r="AA26" i="46" l="1"/>
  <c r="AB26" i="45"/>
  <c r="AB26" i="46" s="1"/>
  <c r="AB7" i="44"/>
  <c r="AA24" i="46"/>
  <c r="AA27" i="45"/>
  <c r="AB24" i="45"/>
  <c r="AR168" i="36"/>
  <c r="AR170" i="36" s="1"/>
  <c r="T147" i="36"/>
  <c r="T32" i="36"/>
  <c r="T33" i="36"/>
  <c r="T146" i="36" s="1"/>
  <c r="AP170" i="36"/>
  <c r="AA27" i="46" l="1"/>
  <c r="AA39" i="45"/>
  <c r="AB24" i="46"/>
  <c r="AB27" i="45"/>
  <c r="AS168" i="36"/>
  <c r="AS170" i="36" s="1"/>
  <c r="AS18" i="36" s="1"/>
  <c r="AT168" i="36"/>
  <c r="AT170" i="36" s="1"/>
  <c r="AR18" i="36"/>
  <c r="AP18" i="36"/>
  <c r="AB27" i="46" l="1"/>
  <c r="AB39" i="45"/>
  <c r="AA39" i="46"/>
  <c r="AA41" i="45"/>
  <c r="AU168" i="36"/>
  <c r="AU170" i="36" s="1"/>
  <c r="AT18" i="36"/>
  <c r="AQ18" i="36"/>
  <c r="AA41" i="46" l="1"/>
  <c r="AA6" i="43"/>
  <c r="AB39" i="46"/>
  <c r="AB41" i="45"/>
  <c r="AU18" i="36"/>
  <c r="AV18" i="36"/>
  <c r="AB41" i="46" l="1"/>
  <c r="AC40" i="45"/>
  <c r="AG40" i="45"/>
  <c r="AG40" i="46" s="1"/>
  <c r="AA46" i="45"/>
  <c r="AB6" i="43"/>
  <c r="AA6" i="44"/>
  <c r="AC21" i="41"/>
  <c r="AA11" i="43"/>
  <c r="U23" i="36"/>
  <c r="U143" i="36" s="1"/>
  <c r="AA20" i="43" l="1"/>
  <c r="AA11" i="44"/>
  <c r="AC21" i="42"/>
  <c r="AC23" i="41"/>
  <c r="AB46" i="45"/>
  <c r="AB6" i="44"/>
  <c r="AB11" i="43"/>
  <c r="AA48" i="45"/>
  <c r="AA48" i="46" s="1"/>
  <c r="AA46" i="46"/>
  <c r="AC40" i="46"/>
  <c r="AC143" i="36"/>
  <c r="AD143" i="36" s="1"/>
  <c r="U25" i="36"/>
  <c r="AC24" i="41" l="1"/>
  <c r="AB20" i="43"/>
  <c r="AB11" i="44"/>
  <c r="AB46" i="46"/>
  <c r="AB48" i="45"/>
  <c r="AB48" i="46" s="1"/>
  <c r="AA43" i="43"/>
  <c r="AA43" i="44" s="1"/>
  <c r="AA20" i="44"/>
  <c r="AE143" i="36"/>
  <c r="AF143" i="36" s="1"/>
  <c r="U27" i="36"/>
  <c r="AC29" i="41" l="1"/>
  <c r="AB43" i="43"/>
  <c r="AB43" i="44" s="1"/>
  <c r="AB20" i="44"/>
  <c r="AC25" i="41"/>
  <c r="AH143" i="36"/>
  <c r="U33" i="36"/>
  <c r="U146" i="36" s="1"/>
  <c r="U32" i="36"/>
  <c r="AC6" i="45" l="1"/>
  <c r="AC27" i="41"/>
  <c r="AC34" i="41"/>
  <c r="AI143" i="36"/>
  <c r="AC33" i="41" l="1"/>
  <c r="AC32" i="41"/>
  <c r="AC147" i="41"/>
  <c r="AC22" i="45"/>
  <c r="AC38" i="43"/>
  <c r="AJ143" i="36"/>
  <c r="AK143" i="36"/>
  <c r="AC41" i="43" l="1"/>
  <c r="AC55" i="45"/>
  <c r="AC146" i="41"/>
  <c r="AM143" i="36"/>
  <c r="AN143" i="36" s="1"/>
  <c r="AC148" i="41" l="1"/>
  <c r="AC42" i="43"/>
  <c r="AC62" i="43"/>
  <c r="AO143" i="36"/>
  <c r="AP143" i="36" s="1"/>
  <c r="AC12" i="43" l="1"/>
  <c r="AC7" i="43"/>
  <c r="AC17" i="43"/>
  <c r="AR143" i="36"/>
  <c r="AC24" i="45" l="1"/>
  <c r="AC26" i="45"/>
  <c r="AS143" i="36"/>
  <c r="AT143" i="36" s="1"/>
  <c r="AC27" i="45" l="1"/>
  <c r="AU143" i="36"/>
  <c r="AC39" i="45" l="1"/>
  <c r="W21" i="36"/>
  <c r="AC41" i="45" l="1"/>
  <c r="W62" i="36"/>
  <c r="W45" i="36"/>
  <c r="W46" i="36" s="1"/>
  <c r="U44" i="36"/>
  <c r="Z44" i="36" s="1"/>
  <c r="AE44" i="36" s="1"/>
  <c r="U46" i="36"/>
  <c r="AC6" i="43" l="1"/>
  <c r="AD40" i="45"/>
  <c r="W63" i="36"/>
  <c r="U59" i="36"/>
  <c r="U53" i="36"/>
  <c r="W54" i="36"/>
  <c r="AC46" i="45" l="1"/>
  <c r="AD21" i="41"/>
  <c r="AC11" i="43"/>
  <c r="Z53" i="36"/>
  <c r="AE53" i="36" s="1"/>
  <c r="Z45" i="36"/>
  <c r="U68" i="36"/>
  <c r="U65" i="36"/>
  <c r="U61" i="36"/>
  <c r="Z54" i="36"/>
  <c r="W60" i="36"/>
  <c r="W67" i="36"/>
  <c r="W59" i="36"/>
  <c r="AC20" i="43" l="1"/>
  <c r="AC48" i="45"/>
  <c r="AD23" i="41"/>
  <c r="AJ53" i="36"/>
  <c r="AO53" i="36" s="1"/>
  <c r="AT53" i="36" s="1"/>
  <c r="AE54" i="36"/>
  <c r="Z62" i="36"/>
  <c r="AB45" i="36"/>
  <c r="AB46" i="36" s="1"/>
  <c r="Z46" i="36"/>
  <c r="AJ44" i="36"/>
  <c r="AE45" i="36"/>
  <c r="V64" i="36"/>
  <c r="Y67" i="36"/>
  <c r="AA67" i="36"/>
  <c r="X67" i="36"/>
  <c r="U70" i="36"/>
  <c r="U71" i="36" s="1"/>
  <c r="W68" i="36"/>
  <c r="W61" i="36"/>
  <c r="Z59" i="36"/>
  <c r="AB54" i="36"/>
  <c r="AD24" i="41" l="1"/>
  <c r="AC43" i="43"/>
  <c r="AJ54" i="36"/>
  <c r="AT54" i="36"/>
  <c r="AO54" i="36"/>
  <c r="AE46" i="36"/>
  <c r="AE59" i="36"/>
  <c r="AE62" i="36"/>
  <c r="AG45" i="36"/>
  <c r="AG46" i="36" s="1"/>
  <c r="AO44" i="36"/>
  <c r="AJ45" i="36"/>
  <c r="AB62" i="36"/>
  <c r="AB63" i="36" s="1"/>
  <c r="W71" i="36"/>
  <c r="W72" i="36" s="1"/>
  <c r="W64" i="36"/>
  <c r="X64" i="36"/>
  <c r="Z67" i="36"/>
  <c r="AB59" i="36"/>
  <c r="AB47" i="36" s="1"/>
  <c r="Z60" i="36"/>
  <c r="AG54" i="36"/>
  <c r="U72" i="36"/>
  <c r="AD29" i="41" l="1"/>
  <c r="AD25" i="41"/>
  <c r="AT44" i="36"/>
  <c r="AO45" i="36"/>
  <c r="AG62" i="36"/>
  <c r="AJ62" i="36"/>
  <c r="AJ59" i="36"/>
  <c r="AJ46" i="36"/>
  <c r="AL45" i="36"/>
  <c r="AL46" i="36" s="1"/>
  <c r="AE64" i="36"/>
  <c r="AE67" i="36"/>
  <c r="AE60" i="36"/>
  <c r="Y64" i="36"/>
  <c r="W65" i="36"/>
  <c r="W70" i="36"/>
  <c r="V72" i="36"/>
  <c r="X70" i="36"/>
  <c r="X71" i="36" s="1"/>
  <c r="X72" i="36" s="1"/>
  <c r="AL54" i="36"/>
  <c r="AG59" i="36"/>
  <c r="AB60" i="36"/>
  <c r="AB67" i="36"/>
  <c r="AB68" i="36" s="1"/>
  <c r="AG63" i="36" l="1"/>
  <c r="AG63" i="42" s="1"/>
  <c r="AG62" i="42"/>
  <c r="AD6" i="45"/>
  <c r="AD27" i="41"/>
  <c r="AD34" i="41"/>
  <c r="AJ60" i="36"/>
  <c r="AJ64" i="36"/>
  <c r="AJ67" i="36"/>
  <c r="AO59" i="36"/>
  <c r="AO62" i="36"/>
  <c r="AO46" i="36"/>
  <c r="AQ45" i="36"/>
  <c r="AQ46" i="36" s="1"/>
  <c r="AT45" i="36"/>
  <c r="AL62" i="36"/>
  <c r="Y70" i="36"/>
  <c r="Y71" i="36" s="1"/>
  <c r="Z64" i="36"/>
  <c r="AQ54" i="36"/>
  <c r="AG67" i="36"/>
  <c r="AV54" i="36"/>
  <c r="AL59" i="36"/>
  <c r="AG60" i="36"/>
  <c r="AG60" i="42" s="1"/>
  <c r="AB61" i="36"/>
  <c r="AG68" i="36" l="1"/>
  <c r="AG68" i="42" s="1"/>
  <c r="AG67" i="42"/>
  <c r="AL63" i="36"/>
  <c r="AL63" i="42" s="1"/>
  <c r="AL62" i="42"/>
  <c r="AD147" i="41"/>
  <c r="AD33" i="41"/>
  <c r="AD32" i="41"/>
  <c r="AD22" i="45"/>
  <c r="AD38" i="43"/>
  <c r="AQ62" i="36"/>
  <c r="AT59" i="36"/>
  <c r="AV59" i="36" s="1"/>
  <c r="AT46" i="36"/>
  <c r="AT62" i="36"/>
  <c r="AV45" i="36"/>
  <c r="AV46" i="36" s="1"/>
  <c r="AO60" i="36"/>
  <c r="AO67" i="36"/>
  <c r="AO64" i="36"/>
  <c r="Z70" i="36"/>
  <c r="Z71" i="36" s="1"/>
  <c r="Z72" i="36" s="1"/>
  <c r="AA64" i="36"/>
  <c r="Y72" i="36"/>
  <c r="AL67" i="36"/>
  <c r="AQ59" i="36"/>
  <c r="AG61" i="36"/>
  <c r="AG61" i="42" s="1"/>
  <c r="AL68" i="36" l="1"/>
  <c r="AL68" i="42" s="1"/>
  <c r="AL67" i="42"/>
  <c r="AQ63" i="36"/>
  <c r="AQ63" i="42" s="1"/>
  <c r="AQ62" i="42"/>
  <c r="AD55" i="45"/>
  <c r="AD41" i="43"/>
  <c r="AD146" i="41"/>
  <c r="AV62" i="36"/>
  <c r="AT60" i="36"/>
  <c r="AT64" i="36"/>
  <c r="AT67" i="36"/>
  <c r="AB64" i="36"/>
  <c r="AB65" i="36" s="1"/>
  <c r="AL60" i="36"/>
  <c r="AL60" i="42" s="1"/>
  <c r="AQ67" i="36"/>
  <c r="AQ68" i="36" l="1"/>
  <c r="AQ68" i="42" s="1"/>
  <c r="AQ67" i="42"/>
  <c r="AV63" i="36"/>
  <c r="AV63" i="42" s="1"/>
  <c r="AV62" i="42"/>
  <c r="AD62" i="43"/>
  <c r="AD42" i="43"/>
  <c r="AD148" i="41"/>
  <c r="AV67" i="36"/>
  <c r="AQ60" i="36"/>
  <c r="AQ60" i="42" s="1"/>
  <c r="AL61" i="36"/>
  <c r="AL61" i="42" s="1"/>
  <c r="AV68" i="36" l="1"/>
  <c r="AV68" i="42" s="1"/>
  <c r="AV67" i="42"/>
  <c r="AD12" i="43"/>
  <c r="AD7" i="43"/>
  <c r="AD17" i="43"/>
  <c r="AQ61" i="36"/>
  <c r="AQ61" i="42" s="1"/>
  <c r="AD24" i="45" l="1"/>
  <c r="AD26" i="45"/>
  <c r="AV60" i="36"/>
  <c r="AV60" i="42" s="1"/>
  <c r="AD27" i="45" l="1"/>
  <c r="AG64" i="36"/>
  <c r="AG65" i="36" s="1"/>
  <c r="AV61" i="36"/>
  <c r="AV61" i="42" s="1"/>
  <c r="AD39" i="45" l="1"/>
  <c r="W95" i="36"/>
  <c r="U133" i="36"/>
  <c r="W78" i="36"/>
  <c r="W79" i="36" s="1"/>
  <c r="U77" i="36"/>
  <c r="Z77" i="36" s="1"/>
  <c r="U79" i="36"/>
  <c r="AD41" i="45" l="1"/>
  <c r="AE77" i="36"/>
  <c r="Z78" i="36"/>
  <c r="W96" i="36"/>
  <c r="U92" i="36"/>
  <c r="U134" i="36"/>
  <c r="U86" i="36"/>
  <c r="Z86" i="36" s="1"/>
  <c r="AE86" i="36" s="1"/>
  <c r="W87" i="36"/>
  <c r="AD6" i="43" l="1"/>
  <c r="AE40" i="45"/>
  <c r="AJ86" i="36"/>
  <c r="AO86" i="36" s="1"/>
  <c r="AT86" i="36" s="1"/>
  <c r="AE87" i="36"/>
  <c r="AB78" i="36"/>
  <c r="AB79" i="36" s="1"/>
  <c r="Z95" i="36"/>
  <c r="Z5" i="36"/>
  <c r="AB5" i="36" s="1"/>
  <c r="Z79" i="36"/>
  <c r="AJ77" i="36"/>
  <c r="AO77" i="36" s="1"/>
  <c r="AT77" i="36" s="1"/>
  <c r="AE78" i="36"/>
  <c r="Z87" i="36"/>
  <c r="AB87" i="36" s="1"/>
  <c r="U101" i="36"/>
  <c r="U98" i="36"/>
  <c r="U94" i="36"/>
  <c r="AL64" i="36"/>
  <c r="AL65" i="36" s="1"/>
  <c r="AG87" i="36"/>
  <c r="AE6" i="36"/>
  <c r="AE134" i="36" s="1"/>
  <c r="W92" i="36"/>
  <c r="W82" i="36" s="1"/>
  <c r="AD46" i="45" l="1"/>
  <c r="AE21" i="41"/>
  <c r="AD11" i="43"/>
  <c r="Z133" i="36"/>
  <c r="AE79" i="36"/>
  <c r="AE95" i="36"/>
  <c r="AG78" i="36"/>
  <c r="AG79" i="36" s="1"/>
  <c r="AE5" i="36"/>
  <c r="AG5" i="36" s="1"/>
  <c r="AJ78" i="36"/>
  <c r="AB95" i="36"/>
  <c r="AB96" i="36" s="1"/>
  <c r="Z10" i="36"/>
  <c r="AB10" i="36" s="1"/>
  <c r="AE92" i="36"/>
  <c r="Z6" i="36"/>
  <c r="Z8" i="36" s="1"/>
  <c r="AJ87" i="36"/>
  <c r="AJ92" i="36" s="1"/>
  <c r="Z92" i="36"/>
  <c r="AB92" i="36" s="1"/>
  <c r="AB82" i="36" s="1"/>
  <c r="V100" i="36"/>
  <c r="V93" i="36"/>
  <c r="V97" i="36"/>
  <c r="U103" i="36"/>
  <c r="U105" i="36" s="1"/>
  <c r="AG6" i="36"/>
  <c r="AE23" i="41" l="1"/>
  <c r="AD20" i="43"/>
  <c r="AD48" i="45"/>
  <c r="AE133" i="36"/>
  <c r="AE8" i="36"/>
  <c r="AG8" i="36"/>
  <c r="AB6" i="36"/>
  <c r="AB8" i="36" s="1"/>
  <c r="AJ97" i="36"/>
  <c r="AJ100" i="36"/>
  <c r="AJ93" i="36"/>
  <c r="AE97" i="36"/>
  <c r="AE100" i="36"/>
  <c r="AE93" i="36"/>
  <c r="AT78" i="36"/>
  <c r="AO78" i="36"/>
  <c r="AT87" i="36"/>
  <c r="AO87" i="36"/>
  <c r="AG92" i="36"/>
  <c r="AG82" i="36" s="1"/>
  <c r="Z134" i="36"/>
  <c r="AJ95" i="36"/>
  <c r="AJ79" i="36"/>
  <c r="AL78" i="36"/>
  <c r="AL79" i="36" s="1"/>
  <c r="AJ5" i="36"/>
  <c r="AL5" i="36" s="1"/>
  <c r="AG95" i="36"/>
  <c r="AG96" i="36" s="1"/>
  <c r="AE10" i="36"/>
  <c r="AG10" i="36" s="1"/>
  <c r="AG10" i="42" s="1"/>
  <c r="AE25" i="39"/>
  <c r="AG25" i="39" s="1"/>
  <c r="AG56" i="39" s="1"/>
  <c r="AE8" i="38"/>
  <c r="AE12" i="39"/>
  <c r="AG12" i="39" s="1"/>
  <c r="Z8" i="38"/>
  <c r="Z25" i="39"/>
  <c r="Z12" i="39"/>
  <c r="V11" i="36"/>
  <c r="W11" i="36" s="1"/>
  <c r="W97" i="36"/>
  <c r="W98" i="36" s="1"/>
  <c r="X100" i="36"/>
  <c r="X13" i="36" s="1"/>
  <c r="V13" i="36"/>
  <c r="W13" i="36" s="1"/>
  <c r="W100" i="36"/>
  <c r="W101" i="36" s="1"/>
  <c r="X97" i="36"/>
  <c r="X11" i="36" s="1"/>
  <c r="V9" i="36"/>
  <c r="V103" i="36"/>
  <c r="V105" i="36" s="1"/>
  <c r="W93" i="36"/>
  <c r="X93" i="36"/>
  <c r="U137" i="36"/>
  <c r="U106" i="36"/>
  <c r="AG140" i="36"/>
  <c r="AB140" i="36"/>
  <c r="Z140" i="36"/>
  <c r="AE140" i="36"/>
  <c r="AJ6" i="36"/>
  <c r="AJ134" i="36" s="1"/>
  <c r="AL87" i="36"/>
  <c r="AE24" i="41" l="1"/>
  <c r="AD43" i="43"/>
  <c r="AT92" i="36"/>
  <c r="AT100" i="36" s="1"/>
  <c r="AJ133" i="36"/>
  <c r="AO92" i="36"/>
  <c r="AO97" i="36" s="1"/>
  <c r="AO95" i="36"/>
  <c r="AO79" i="36"/>
  <c r="AQ78" i="36"/>
  <c r="AO5" i="36"/>
  <c r="AQ5" i="36" s="1"/>
  <c r="AO133" i="36"/>
  <c r="AT95" i="36"/>
  <c r="AT79" i="36"/>
  <c r="AV78" i="36"/>
  <c r="AT5" i="36"/>
  <c r="AV5" i="36" s="1"/>
  <c r="AL95" i="36"/>
  <c r="AL96" i="36" s="1"/>
  <c r="AJ10" i="36"/>
  <c r="AL10" i="36" s="1"/>
  <c r="AL10" i="42" s="1"/>
  <c r="AE15" i="39"/>
  <c r="AF15" i="39"/>
  <c r="AB12" i="39"/>
  <c r="Z35" i="39"/>
  <c r="Z37" i="38" s="1"/>
  <c r="AB25" i="39"/>
  <c r="AB56" i="39" s="1"/>
  <c r="Z14" i="38"/>
  <c r="AA7" i="39" s="1"/>
  <c r="Z15" i="39"/>
  <c r="AA15" i="39"/>
  <c r="V9" i="38"/>
  <c r="V22" i="38"/>
  <c r="W9" i="36"/>
  <c r="W15" i="36" s="1"/>
  <c r="W17" i="36" s="1"/>
  <c r="V15" i="36"/>
  <c r="V106" i="36"/>
  <c r="Y97" i="36"/>
  <c r="W103" i="36"/>
  <c r="W94" i="36"/>
  <c r="W105" i="36"/>
  <c r="W106" i="36" s="1"/>
  <c r="X9" i="36"/>
  <c r="X103" i="36"/>
  <c r="X105" i="36" s="1"/>
  <c r="X106" i="36" s="1"/>
  <c r="Y100" i="36"/>
  <c r="Y93" i="36"/>
  <c r="AO6" i="36"/>
  <c r="AO134" i="36" s="1"/>
  <c r="AQ87" i="36"/>
  <c r="AL92" i="36"/>
  <c r="AL82" i="36" s="1"/>
  <c r="AJ8" i="36"/>
  <c r="AL6" i="36"/>
  <c r="AL8" i="36" s="1"/>
  <c r="AT6" i="36"/>
  <c r="AT134" i="36" s="1"/>
  <c r="AV87" i="36"/>
  <c r="AE25" i="41" l="1"/>
  <c r="AE29" i="41"/>
  <c r="AA99" i="36"/>
  <c r="AA127" i="36"/>
  <c r="AA66" i="36"/>
  <c r="AO100" i="36"/>
  <c r="AT97" i="36"/>
  <c r="AT93" i="36"/>
  <c r="AO93" i="36"/>
  <c r="AT133" i="36"/>
  <c r="AV95" i="36"/>
  <c r="AV96" i="36" s="1"/>
  <c r="AT10" i="36"/>
  <c r="AV10" i="36" s="1"/>
  <c r="AV10" i="42" s="1"/>
  <c r="AQ95" i="36"/>
  <c r="AQ96" i="36" s="1"/>
  <c r="AO10" i="36"/>
  <c r="AQ10" i="36" s="1"/>
  <c r="AQ10" i="42" s="1"/>
  <c r="AJ8" i="38"/>
  <c r="AJ25" i="39"/>
  <c r="AL25" i="39" s="1"/>
  <c r="AL56" i="39" s="1"/>
  <c r="AJ12" i="39"/>
  <c r="AL12" i="39" s="1"/>
  <c r="AG15" i="39"/>
  <c r="AA14" i="38"/>
  <c r="AB14" i="38" s="1"/>
  <c r="AC7" i="39" s="1"/>
  <c r="AC14" i="38" s="1"/>
  <c r="AB7" i="39"/>
  <c r="AB15" i="39"/>
  <c r="AA35" i="39"/>
  <c r="AB35" i="39" s="1"/>
  <c r="AB37" i="39" s="1"/>
  <c r="Z37" i="39"/>
  <c r="X22" i="38"/>
  <c r="X18" i="39" s="1"/>
  <c r="X9" i="38"/>
  <c r="X16" i="39" s="1"/>
  <c r="V18" i="39"/>
  <c r="W18" i="39" s="1"/>
  <c r="W22" i="38"/>
  <c r="W30" i="38" s="1"/>
  <c r="W35" i="38" s="1"/>
  <c r="V30" i="38"/>
  <c r="V35" i="38" s="1"/>
  <c r="V16" i="39"/>
  <c r="W16" i="39" s="1"/>
  <c r="W9" i="38"/>
  <c r="Z100" i="36"/>
  <c r="Z13" i="36" s="1"/>
  <c r="Y11" i="36"/>
  <c r="Z97" i="36"/>
  <c r="Z11" i="36" s="1"/>
  <c r="AQ64" i="36"/>
  <c r="AQ65" i="36" s="1"/>
  <c r="Y9" i="36"/>
  <c r="Y103" i="36"/>
  <c r="Y105" i="36" s="1"/>
  <c r="X15" i="36"/>
  <c r="Z93" i="36"/>
  <c r="W19" i="36"/>
  <c r="W141" i="36"/>
  <c r="W23" i="36"/>
  <c r="V17" i="36"/>
  <c r="Y13" i="36"/>
  <c r="AL140" i="36"/>
  <c r="AO8" i="36"/>
  <c r="AQ6" i="36"/>
  <c r="AQ8" i="36" s="1"/>
  <c r="AJ140" i="36"/>
  <c r="AQ92" i="36"/>
  <c r="AV92" i="36"/>
  <c r="AV6" i="36"/>
  <c r="AV8" i="36" s="1"/>
  <c r="AT8" i="36"/>
  <c r="AE34" i="41" l="1"/>
  <c r="AE6" i="45"/>
  <c r="AE27" i="41"/>
  <c r="W142" i="36"/>
  <c r="W65" i="38"/>
  <c r="W64" i="38" s="1"/>
  <c r="AC99" i="36"/>
  <c r="AC127" i="36"/>
  <c r="AC66" i="36"/>
  <c r="AT25" i="39"/>
  <c r="AV25" i="39" s="1"/>
  <c r="AV56" i="39" s="1"/>
  <c r="AT8" i="38"/>
  <c r="AT12" i="39"/>
  <c r="AV12" i="39" s="1"/>
  <c r="AO25" i="39"/>
  <c r="AQ25" i="39" s="1"/>
  <c r="AQ56" i="39" s="1"/>
  <c r="AO8" i="38"/>
  <c r="AO12" i="39"/>
  <c r="AQ12" i="39" s="1"/>
  <c r="AJ15" i="39"/>
  <c r="AK15" i="39"/>
  <c r="AA37" i="38"/>
  <c r="AB37" i="38" s="1"/>
  <c r="Y22" i="38"/>
  <c r="Y30" i="38" s="1"/>
  <c r="Y35" i="38" s="1"/>
  <c r="Y9" i="38"/>
  <c r="Y16" i="39" s="1"/>
  <c r="AC35" i="39"/>
  <c r="AA37" i="39"/>
  <c r="AD7" i="39"/>
  <c r="AD14" i="38" s="1"/>
  <c r="AE7" i="39" s="1"/>
  <c r="AE14" i="38" s="1"/>
  <c r="X30" i="38"/>
  <c r="X35" i="38" s="1"/>
  <c r="Y106" i="36"/>
  <c r="Y15" i="36"/>
  <c r="AA97" i="36"/>
  <c r="AA11" i="36" s="1"/>
  <c r="AB11" i="36" s="1"/>
  <c r="Z103" i="36"/>
  <c r="Z105" i="36" s="1"/>
  <c r="Z106" i="36" s="1"/>
  <c r="Z9" i="36"/>
  <c r="AA93" i="36"/>
  <c r="V141" i="36"/>
  <c r="V19" i="36"/>
  <c r="V142" i="36" s="1"/>
  <c r="V23" i="36"/>
  <c r="V24" i="36" s="1"/>
  <c r="V137" i="36"/>
  <c r="X17" i="36"/>
  <c r="AA100" i="36"/>
  <c r="AQ140" i="36"/>
  <c r="AO140" i="36"/>
  <c r="AV140" i="36"/>
  <c r="AT140" i="36"/>
  <c r="AE32" i="41" l="1"/>
  <c r="AE33" i="41"/>
  <c r="AE22" i="45"/>
  <c r="AE38" i="43"/>
  <c r="AE147" i="41"/>
  <c r="AD127" i="36"/>
  <c r="AD99" i="36"/>
  <c r="AD66" i="36"/>
  <c r="AE127" i="36" s="1"/>
  <c r="AL15" i="39"/>
  <c r="Y18" i="39"/>
  <c r="AT15" i="39"/>
  <c r="AU15" i="39"/>
  <c r="AO15" i="39"/>
  <c r="AP15" i="39"/>
  <c r="AF7" i="39"/>
  <c r="AG7" i="39" s="1"/>
  <c r="AC37" i="39"/>
  <c r="AD35" i="39"/>
  <c r="AC103" i="36"/>
  <c r="AC105" i="36" s="1"/>
  <c r="AC106" i="36" s="1"/>
  <c r="AC37" i="38"/>
  <c r="Z22" i="38"/>
  <c r="Z9" i="38"/>
  <c r="Z16" i="39" s="1"/>
  <c r="AA13" i="36"/>
  <c r="AB13" i="36" s="1"/>
  <c r="AB100" i="36"/>
  <c r="AB101" i="36" s="1"/>
  <c r="X137" i="36"/>
  <c r="X19" i="36"/>
  <c r="X142" i="36" s="1"/>
  <c r="X141" i="36"/>
  <c r="Y17" i="36"/>
  <c r="V25" i="36"/>
  <c r="V6" i="39" s="1"/>
  <c r="W24" i="36"/>
  <c r="AB97" i="36"/>
  <c r="AB98" i="36" s="1"/>
  <c r="Z15" i="36"/>
  <c r="AA9" i="36"/>
  <c r="AB93" i="36"/>
  <c r="AB94" i="36" s="1"/>
  <c r="AB114" i="36"/>
  <c r="AB118" i="36" s="1"/>
  <c r="AB120" i="36" s="1"/>
  <c r="AB121" i="36" s="1"/>
  <c r="AA118" i="36"/>
  <c r="AA120" i="36" s="1"/>
  <c r="AA121" i="36" s="1"/>
  <c r="AB99" i="36"/>
  <c r="AA103" i="36"/>
  <c r="AA105" i="36" s="1"/>
  <c r="AB66" i="36"/>
  <c r="AB70" i="36" s="1"/>
  <c r="AA70" i="36"/>
  <c r="AA71" i="36" s="1"/>
  <c r="AA12" i="36"/>
  <c r="AB127" i="36"/>
  <c r="AB130" i="36" s="1"/>
  <c r="AB131" i="36" s="1"/>
  <c r="AA130" i="36"/>
  <c r="AA131" i="36" s="1"/>
  <c r="AE55" i="45" l="1"/>
  <c r="AE41" i="43"/>
  <c r="AE146" i="41"/>
  <c r="AE99" i="36"/>
  <c r="AE66" i="36"/>
  <c r="AF127" i="36" s="1"/>
  <c r="AD37" i="38"/>
  <c r="AF14" i="38"/>
  <c r="AV15" i="39"/>
  <c r="AQ15" i="39"/>
  <c r="Z18" i="39"/>
  <c r="Z30" i="38"/>
  <c r="Z35" i="38" s="1"/>
  <c r="AD37" i="39"/>
  <c r="AE35" i="39"/>
  <c r="AE37" i="38" s="1"/>
  <c r="AD103" i="36"/>
  <c r="AD105" i="36" s="1"/>
  <c r="AD106" i="36" s="1"/>
  <c r="AG14" i="38"/>
  <c r="AH7" i="39" s="1"/>
  <c r="AH14" i="38" s="1"/>
  <c r="AA22" i="38"/>
  <c r="AA9" i="38"/>
  <c r="W6" i="39"/>
  <c r="W22" i="39" s="1"/>
  <c r="V38" i="38"/>
  <c r="V22" i="39"/>
  <c r="V55" i="39" s="1"/>
  <c r="V148" i="36" s="1"/>
  <c r="AB103" i="36"/>
  <c r="AD13" i="36"/>
  <c r="AD13" i="42" s="1"/>
  <c r="AC9" i="36"/>
  <c r="AC9" i="42" s="1"/>
  <c r="AB9" i="36"/>
  <c r="AC13" i="36"/>
  <c r="AC13" i="42" s="1"/>
  <c r="AV64" i="36"/>
  <c r="AV65" i="36" s="1"/>
  <c r="Y19" i="36"/>
  <c r="Y142" i="36" s="1"/>
  <c r="Y141" i="36"/>
  <c r="Y137" i="36"/>
  <c r="Z17" i="36"/>
  <c r="W143" i="36"/>
  <c r="W25" i="36"/>
  <c r="AC11" i="36"/>
  <c r="AD9" i="36"/>
  <c r="V27" i="36"/>
  <c r="AD11" i="36"/>
  <c r="AB12" i="36"/>
  <c r="AA15" i="36"/>
  <c r="AA106" i="36"/>
  <c r="AB105" i="36"/>
  <c r="AB106" i="36" s="1"/>
  <c r="AB71" i="36"/>
  <c r="AB72" i="36" s="1"/>
  <c r="AA72" i="36"/>
  <c r="AE148" i="41" l="1"/>
  <c r="AE42" i="43"/>
  <c r="AE62" i="43"/>
  <c r="AF99" i="36"/>
  <c r="AF66" i="36"/>
  <c r="AH127" i="36" s="1"/>
  <c r="AD9" i="38"/>
  <c r="AD22" i="38"/>
  <c r="AC9" i="38"/>
  <c r="AC22" i="38"/>
  <c r="AA18" i="39"/>
  <c r="AB22" i="38"/>
  <c r="AB30" i="38" s="1"/>
  <c r="AB35" i="38" s="1"/>
  <c r="AA30" i="38"/>
  <c r="AA35" i="38" s="1"/>
  <c r="AE103" i="36"/>
  <c r="AE105" i="36" s="1"/>
  <c r="AE106" i="36" s="1"/>
  <c r="AI7" i="39"/>
  <c r="AI14" i="38" s="1"/>
  <c r="AE37" i="39"/>
  <c r="AF35" i="39"/>
  <c r="AB18" i="39"/>
  <c r="AB9" i="38"/>
  <c r="AA16" i="39"/>
  <c r="AB16" i="39" s="1"/>
  <c r="W38" i="38"/>
  <c r="W41" i="38" s="1"/>
  <c r="V41" i="38"/>
  <c r="W55" i="39"/>
  <c r="W148" i="36" s="1"/>
  <c r="AE9" i="36"/>
  <c r="V33" i="36"/>
  <c r="V146" i="36" s="1"/>
  <c r="V32" i="36"/>
  <c r="AE11" i="36"/>
  <c r="Z19" i="36"/>
  <c r="Z142" i="36" s="1"/>
  <c r="Z141" i="36"/>
  <c r="Z137" i="36"/>
  <c r="AB15" i="36"/>
  <c r="AB17" i="36" s="1"/>
  <c r="AB19" i="36" s="1"/>
  <c r="AB65" i="38" s="1"/>
  <c r="AB64" i="38" s="1"/>
  <c r="W27" i="36"/>
  <c r="AC12" i="36"/>
  <c r="AC70" i="36"/>
  <c r="AA17" i="36"/>
  <c r="AC130" i="36"/>
  <c r="AC131" i="36" s="1"/>
  <c r="AC16" i="39" l="1"/>
  <c r="AC16" i="46" s="1"/>
  <c r="AC9" i="44"/>
  <c r="AC30" i="38"/>
  <c r="AC22" i="44"/>
  <c r="AC71" i="36"/>
  <c r="AC71" i="42" s="1"/>
  <c r="AC70" i="42"/>
  <c r="AE7" i="43"/>
  <c r="AE12" i="43"/>
  <c r="AE17" i="43"/>
  <c r="AC18" i="39"/>
  <c r="AC18" i="46" s="1"/>
  <c r="AH99" i="36"/>
  <c r="AH66" i="36"/>
  <c r="AI127" i="36" s="1"/>
  <c r="AE9" i="38"/>
  <c r="AE16" i="39" s="1"/>
  <c r="AE22" i="38"/>
  <c r="AD18" i="39"/>
  <c r="AD18" i="46" s="1"/>
  <c r="AD30" i="38"/>
  <c r="AD35" i="38" s="1"/>
  <c r="AD16" i="39"/>
  <c r="AD16" i="46" s="1"/>
  <c r="AF37" i="39"/>
  <c r="AH35" i="39"/>
  <c r="AG35" i="39"/>
  <c r="AG37" i="39" s="1"/>
  <c r="AF103" i="36"/>
  <c r="AF105" i="36" s="1"/>
  <c r="AF106" i="36" s="1"/>
  <c r="AF37" i="38"/>
  <c r="AJ7" i="39"/>
  <c r="AJ14" i="38" s="1"/>
  <c r="V42" i="38"/>
  <c r="V62" i="38"/>
  <c r="W62" i="38"/>
  <c r="W42" i="38"/>
  <c r="AB141" i="36"/>
  <c r="AF11" i="36"/>
  <c r="AG11" i="36" s="1"/>
  <c r="W31" i="36"/>
  <c r="W33" i="36" s="1"/>
  <c r="W146" i="36" s="1"/>
  <c r="W30" i="36"/>
  <c r="W32" i="36" s="1"/>
  <c r="AD70" i="36"/>
  <c r="AE13" i="36"/>
  <c r="AF13" i="36"/>
  <c r="AC15" i="36"/>
  <c r="AC15" i="42" s="1"/>
  <c r="AD130" i="36"/>
  <c r="AD131" i="36" s="1"/>
  <c r="AA19" i="36"/>
  <c r="AA141" i="36"/>
  <c r="AA137" i="36"/>
  <c r="AB142" i="36"/>
  <c r="AD71" i="36" l="1"/>
  <c r="AD71" i="42" s="1"/>
  <c r="AD70" i="42"/>
  <c r="AC72" i="36"/>
  <c r="AC72" i="42" s="1"/>
  <c r="AC35" i="38"/>
  <c r="AC35" i="44" s="1"/>
  <c r="AC30" i="44"/>
  <c r="AE26" i="45"/>
  <c r="AE24" i="45"/>
  <c r="AI99" i="36"/>
  <c r="AI66" i="36"/>
  <c r="AJ127" i="36" s="1"/>
  <c r="AE18" i="39"/>
  <c r="AE30" i="38"/>
  <c r="AE35" i="38" s="1"/>
  <c r="AK7" i="39"/>
  <c r="AL7" i="39" s="1"/>
  <c r="AG37" i="38"/>
  <c r="AH37" i="38"/>
  <c r="AH103" i="36"/>
  <c r="AH105" i="36" s="1"/>
  <c r="AH106" i="36" s="1"/>
  <c r="AH37" i="39"/>
  <c r="AI35" i="39"/>
  <c r="V17" i="38"/>
  <c r="V7" i="38"/>
  <c r="V12" i="38"/>
  <c r="W12" i="38" s="1"/>
  <c r="AG100" i="36"/>
  <c r="AG101" i="36" s="1"/>
  <c r="AG97" i="36"/>
  <c r="AG98" i="36" s="1"/>
  <c r="AD12" i="36"/>
  <c r="AD15" i="36" s="1"/>
  <c r="AG13" i="36"/>
  <c r="AG13" i="42" s="1"/>
  <c r="AF9" i="36"/>
  <c r="AF9" i="42" s="1"/>
  <c r="AG93" i="36"/>
  <c r="AG94" i="36" s="1"/>
  <c r="W36" i="36"/>
  <c r="AA142" i="36"/>
  <c r="AC17" i="36"/>
  <c r="AC17" i="42" s="1"/>
  <c r="AD72" i="36"/>
  <c r="AD72" i="42" s="1"/>
  <c r="AD17" i="36" l="1"/>
  <c r="AD17" i="42" s="1"/>
  <c r="AD15" i="42"/>
  <c r="AE27" i="45"/>
  <c r="AJ99" i="36"/>
  <c r="AJ66" i="36"/>
  <c r="AK127" i="36" s="1"/>
  <c r="AK14" i="38"/>
  <c r="AL14" i="38" s="1"/>
  <c r="AM7" i="39" s="1"/>
  <c r="AM14" i="38" s="1"/>
  <c r="AF9" i="38"/>
  <c r="AF9" i="44" s="1"/>
  <c r="AF22" i="38"/>
  <c r="AF22" i="44" s="1"/>
  <c r="AJ35" i="39"/>
  <c r="AI37" i="39"/>
  <c r="AI37" i="38"/>
  <c r="AI103" i="36"/>
  <c r="AI105" i="36" s="1"/>
  <c r="AI106" i="36" s="1"/>
  <c r="AK99" i="36"/>
  <c r="V24" i="39"/>
  <c r="W7" i="38"/>
  <c r="V26" i="39"/>
  <c r="W26" i="39" s="1"/>
  <c r="W17" i="38"/>
  <c r="AH11" i="36"/>
  <c r="AI13" i="36"/>
  <c r="AI13" i="42" s="1"/>
  <c r="AH9" i="36"/>
  <c r="AH9" i="42" s="1"/>
  <c r="AI9" i="36"/>
  <c r="AI11" i="36"/>
  <c r="AH13" i="36"/>
  <c r="AH13" i="42" s="1"/>
  <c r="AG9" i="36"/>
  <c r="AG9" i="42" s="1"/>
  <c r="AE130" i="36"/>
  <c r="AE131" i="36" s="1"/>
  <c r="AC19" i="36"/>
  <c r="AC19" i="42" s="1"/>
  <c r="AC141" i="36"/>
  <c r="AC141" i="42" s="1"/>
  <c r="AC137" i="36"/>
  <c r="AC137" i="42" s="1"/>
  <c r="AE70" i="36"/>
  <c r="AE71" i="36" s="1"/>
  <c r="AE12" i="36"/>
  <c r="AD19" i="36"/>
  <c r="AD19" i="42" s="1"/>
  <c r="AD141" i="36"/>
  <c r="AD141" i="42" s="1"/>
  <c r="AD137" i="36"/>
  <c r="AD137" i="42" s="1"/>
  <c r="AE39" i="45" l="1"/>
  <c r="AK66" i="36"/>
  <c r="AM127" i="36" s="1"/>
  <c r="AJ37" i="38"/>
  <c r="AI9" i="38"/>
  <c r="AI22" i="38"/>
  <c r="AH22" i="38"/>
  <c r="AH9" i="38"/>
  <c r="AF18" i="39"/>
  <c r="AG22" i="38"/>
  <c r="AF30" i="38"/>
  <c r="AF16" i="39"/>
  <c r="AG9" i="38"/>
  <c r="AG9" i="44" s="1"/>
  <c r="AJ103" i="36"/>
  <c r="AJ105" i="36" s="1"/>
  <c r="AJ106" i="36" s="1"/>
  <c r="AK35" i="39"/>
  <c r="AK37" i="38" s="1"/>
  <c r="AJ37" i="39"/>
  <c r="AJ37" i="46" s="1"/>
  <c r="AN7" i="39"/>
  <c r="W24" i="39"/>
  <c r="W27" i="39" s="1"/>
  <c r="W39" i="39" s="1"/>
  <c r="W41" i="39" s="1"/>
  <c r="V27" i="39"/>
  <c r="V39" i="39" s="1"/>
  <c r="V41" i="39" s="1"/>
  <c r="V6" i="38" s="1"/>
  <c r="AJ11" i="36"/>
  <c r="AJ9" i="36"/>
  <c r="AE72" i="36"/>
  <c r="AC142" i="36"/>
  <c r="AC142" i="42" s="1"/>
  <c r="AE15" i="36"/>
  <c r="AD142" i="36"/>
  <c r="AD142" i="42" s="1"/>
  <c r="AG16" i="39" l="1"/>
  <c r="AG16" i="46" s="1"/>
  <c r="AF16" i="46"/>
  <c r="AG30" i="38"/>
  <c r="AG22" i="44"/>
  <c r="AF35" i="38"/>
  <c r="AF35" i="44" s="1"/>
  <c r="AF30" i="44"/>
  <c r="AG18" i="39"/>
  <c r="AG18" i="46" s="1"/>
  <c r="AF18" i="46"/>
  <c r="AH16" i="39"/>
  <c r="AH16" i="46" s="1"/>
  <c r="AH9" i="44"/>
  <c r="AH30" i="38"/>
  <c r="AH22" i="44"/>
  <c r="AE41" i="45"/>
  <c r="AM99" i="36"/>
  <c r="AM66" i="36"/>
  <c r="AN127" i="36" s="1"/>
  <c r="AH18" i="39"/>
  <c r="AH18" i="46" s="1"/>
  <c r="AJ9" i="38"/>
  <c r="AJ16" i="39" s="1"/>
  <c r="AJ22" i="38"/>
  <c r="AL35" i="39"/>
  <c r="AL37" i="39" s="1"/>
  <c r="AL37" i="46" s="1"/>
  <c r="AI18" i="39"/>
  <c r="AI18" i="46" s="1"/>
  <c r="AI30" i="38"/>
  <c r="AI35" i="38" s="1"/>
  <c r="AI16" i="39"/>
  <c r="AI16" i="46" s="1"/>
  <c r="AL37" i="38"/>
  <c r="AN14" i="38"/>
  <c r="AO7" i="39" s="1"/>
  <c r="AO14" i="38" s="1"/>
  <c r="AM35" i="39"/>
  <c r="AK37" i="39"/>
  <c r="AK37" i="46" s="1"/>
  <c r="AK103" i="36"/>
  <c r="AK105" i="36" s="1"/>
  <c r="AK106" i="36" s="1"/>
  <c r="X21" i="36"/>
  <c r="W6" i="38"/>
  <c r="V46" i="39"/>
  <c r="V48" i="39" s="1"/>
  <c r="V11" i="38"/>
  <c r="V20" i="38" s="1"/>
  <c r="V43" i="38" s="1"/>
  <c r="X40" i="39"/>
  <c r="AB40" i="39"/>
  <c r="AK9" i="36"/>
  <c r="AK9" i="42" s="1"/>
  <c r="AK13" i="36"/>
  <c r="AK11" i="36"/>
  <c r="AL11" i="36" s="1"/>
  <c r="AL97" i="36"/>
  <c r="AL98" i="36" s="1"/>
  <c r="AJ13" i="36"/>
  <c r="AL13" i="36" s="1"/>
  <c r="AL13" i="42" s="1"/>
  <c r="AL100" i="36"/>
  <c r="AL101" i="36" s="1"/>
  <c r="AF130" i="36"/>
  <c r="AF131" i="36" s="1"/>
  <c r="AG127" i="36"/>
  <c r="AG130" i="36" s="1"/>
  <c r="AG131" i="36" s="1"/>
  <c r="AE17" i="36"/>
  <c r="AF70" i="36"/>
  <c r="AF12" i="36"/>
  <c r="AG66" i="36"/>
  <c r="AG70" i="36" s="1"/>
  <c r="AG70" i="42" s="1"/>
  <c r="AG99" i="36"/>
  <c r="AG103" i="36" s="1"/>
  <c r="AG114" i="36"/>
  <c r="AG118" i="36" s="1"/>
  <c r="AG120" i="36" s="1"/>
  <c r="AG121" i="36" s="1"/>
  <c r="AG35" i="38" l="1"/>
  <c r="AG35" i="44" s="1"/>
  <c r="AG30" i="44"/>
  <c r="AF71" i="36"/>
  <c r="AF71" i="42" s="1"/>
  <c r="AF70" i="42"/>
  <c r="AH35" i="38"/>
  <c r="AH35" i="44" s="1"/>
  <c r="AH30" i="44"/>
  <c r="AE6" i="43"/>
  <c r="AF40" i="45"/>
  <c r="AN99" i="36"/>
  <c r="AN66" i="36"/>
  <c r="AO127" i="36" s="1"/>
  <c r="AJ18" i="39"/>
  <c r="AJ30" i="38"/>
  <c r="AJ35" i="38" s="1"/>
  <c r="AJ35" i="44" s="1"/>
  <c r="AL9" i="36"/>
  <c r="AL9" i="42" s="1"/>
  <c r="AK9" i="38"/>
  <c r="AK9" i="44" s="1"/>
  <c r="AK22" i="38"/>
  <c r="AK22" i="44" s="1"/>
  <c r="AN35" i="39"/>
  <c r="AM37" i="39"/>
  <c r="AM37" i="46" s="1"/>
  <c r="AM37" i="38"/>
  <c r="AM103" i="36"/>
  <c r="AM105" i="36" s="1"/>
  <c r="AM106" i="36" s="1"/>
  <c r="AP7" i="39"/>
  <c r="AP14" i="38" s="1"/>
  <c r="W46" i="39"/>
  <c r="W48" i="39" s="1"/>
  <c r="W11" i="38"/>
  <c r="W20" i="38" s="1"/>
  <c r="W43" i="38" s="1"/>
  <c r="AL93" i="36"/>
  <c r="AL94" i="36" s="1"/>
  <c r="X23" i="36"/>
  <c r="AF15" i="36"/>
  <c r="AF15" i="42" s="1"/>
  <c r="AG12" i="36"/>
  <c r="AG15" i="36" s="1"/>
  <c r="AE141" i="36"/>
  <c r="AE19" i="36"/>
  <c r="AE137" i="36"/>
  <c r="AF72" i="36"/>
  <c r="AF72" i="42" s="1"/>
  <c r="AG71" i="36"/>
  <c r="AG105" i="36"/>
  <c r="AG106" i="36" s="1"/>
  <c r="AG17" i="36" l="1"/>
  <c r="AG17" i="42" s="1"/>
  <c r="AG15" i="42"/>
  <c r="AG72" i="36"/>
  <c r="AG72" i="42" s="1"/>
  <c r="AG71" i="42"/>
  <c r="AE46" i="45"/>
  <c r="AF21" i="41"/>
  <c r="AE11" i="43"/>
  <c r="AO99" i="36"/>
  <c r="AO66" i="36"/>
  <c r="AP127" i="36" s="1"/>
  <c r="AN37" i="38"/>
  <c r="AQ7" i="39"/>
  <c r="AL9" i="38"/>
  <c r="AL9" i="44" s="1"/>
  <c r="AK16" i="39"/>
  <c r="AK18" i="39"/>
  <c r="AL22" i="38"/>
  <c r="AK30" i="38"/>
  <c r="AQ14" i="38"/>
  <c r="AR7" i="39" s="1"/>
  <c r="AR14" i="38" s="1"/>
  <c r="AN103" i="36"/>
  <c r="AN105" i="36" s="1"/>
  <c r="AN106" i="36" s="1"/>
  <c r="AP66" i="36"/>
  <c r="AN37" i="39"/>
  <c r="AN37" i="46" s="1"/>
  <c r="AO35" i="39"/>
  <c r="X24" i="36"/>
  <c r="X25" i="36" s="1"/>
  <c r="X6" i="39" s="1"/>
  <c r="AM9" i="36"/>
  <c r="AM9" i="42" s="1"/>
  <c r="AM13" i="36"/>
  <c r="AM13" i="42" s="1"/>
  <c r="AN13" i="36"/>
  <c r="AN13" i="42" s="1"/>
  <c r="AN9" i="36"/>
  <c r="AM11" i="36"/>
  <c r="AN11" i="36"/>
  <c r="AG19" i="36"/>
  <c r="AG141" i="36"/>
  <c r="AG141" i="42" s="1"/>
  <c r="AF17" i="36"/>
  <c r="AF17" i="42" s="1"/>
  <c r="AH70" i="36"/>
  <c r="AH12" i="36"/>
  <c r="AE142" i="36"/>
  <c r="AH130" i="36"/>
  <c r="AH131" i="36" s="1"/>
  <c r="AK35" i="38" l="1"/>
  <c r="AK35" i="44" s="1"/>
  <c r="AK30" i="44"/>
  <c r="AL16" i="39"/>
  <c r="AL16" i="46" s="1"/>
  <c r="AK16" i="46"/>
  <c r="AL30" i="38"/>
  <c r="AL22" i="44"/>
  <c r="AL18" i="39"/>
  <c r="AL18" i="46" s="1"/>
  <c r="AK18" i="46"/>
  <c r="AG65" i="38"/>
  <c r="AG19" i="42"/>
  <c r="AH71" i="36"/>
  <c r="AH71" i="42" s="1"/>
  <c r="AH70" i="42"/>
  <c r="AE20" i="43"/>
  <c r="AE48" i="45"/>
  <c r="AF23" i="41"/>
  <c r="AG21" i="41"/>
  <c r="AP99" i="36"/>
  <c r="AR127" i="36" s="1"/>
  <c r="AM9" i="38"/>
  <c r="AM22" i="38"/>
  <c r="AM22" i="44" s="1"/>
  <c r="AN9" i="38"/>
  <c r="AN16" i="39" s="1"/>
  <c r="AN16" i="46" s="1"/>
  <c r="AN22" i="38"/>
  <c r="AO37" i="39"/>
  <c r="AO37" i="46" s="1"/>
  <c r="AP35" i="39"/>
  <c r="AQ35" i="39" s="1"/>
  <c r="AQ37" i="39" s="1"/>
  <c r="AQ37" i="46" s="1"/>
  <c r="AO103" i="36"/>
  <c r="AO105" i="36" s="1"/>
  <c r="AO106" i="36" s="1"/>
  <c r="AR99" i="36"/>
  <c r="AO37" i="38"/>
  <c r="AP37" i="38" s="1"/>
  <c r="AS7" i="39"/>
  <c r="AS14" i="38" s="1"/>
  <c r="X38" i="38"/>
  <c r="X41" i="38" s="1"/>
  <c r="X22" i="39"/>
  <c r="X55" i="39" s="1"/>
  <c r="X148" i="36" s="1"/>
  <c r="AO13" i="36"/>
  <c r="X27" i="36"/>
  <c r="AF19" i="36"/>
  <c r="AF19" i="42" s="1"/>
  <c r="AF141" i="36"/>
  <c r="AF141" i="42" s="1"/>
  <c r="AF137" i="36"/>
  <c r="AF137" i="42" s="1"/>
  <c r="AG142" i="36"/>
  <c r="AG142" i="42" s="1"/>
  <c r="AH15" i="36"/>
  <c r="AH15" i="42" s="1"/>
  <c r="AH72" i="36" l="1"/>
  <c r="AH72" i="42" s="1"/>
  <c r="AL35" i="38"/>
  <c r="AL35" i="44" s="1"/>
  <c r="AL30" i="44"/>
  <c r="AM16" i="39"/>
  <c r="AM16" i="46" s="1"/>
  <c r="AM9" i="44"/>
  <c r="AG64" i="38"/>
  <c r="AG64" i="44" s="1"/>
  <c r="AG65" i="44"/>
  <c r="AF24" i="41"/>
  <c r="AF25" i="41" s="1"/>
  <c r="AG23" i="41"/>
  <c r="AE43" i="43"/>
  <c r="AR66" i="36"/>
  <c r="AS127" i="36" s="1"/>
  <c r="AN18" i="39"/>
  <c r="AN18" i="46" s="1"/>
  <c r="AN30" i="38"/>
  <c r="AN35" i="38" s="1"/>
  <c r="AN35" i="44" s="1"/>
  <c r="AM30" i="38"/>
  <c r="AM18" i="39"/>
  <c r="AM18" i="46" s="1"/>
  <c r="AT7" i="39"/>
  <c r="AT14" i="38" s="1"/>
  <c r="AQ37" i="38"/>
  <c r="AP37" i="39"/>
  <c r="AP37" i="46" s="1"/>
  <c r="AR35" i="39"/>
  <c r="AS66" i="36"/>
  <c r="AP103" i="36"/>
  <c r="AP105" i="36" s="1"/>
  <c r="AP106" i="36" s="1"/>
  <c r="X42" i="38"/>
  <c r="X62" i="38"/>
  <c r="AO11" i="36"/>
  <c r="AO9" i="36"/>
  <c r="AP9" i="36"/>
  <c r="AP9" i="42" s="1"/>
  <c r="X32" i="36"/>
  <c r="X33" i="36"/>
  <c r="X146" i="36" s="1"/>
  <c r="AP11" i="36"/>
  <c r="AI130" i="36"/>
  <c r="AI131" i="36" s="1"/>
  <c r="AI70" i="36"/>
  <c r="AI12" i="36"/>
  <c r="AF142" i="36"/>
  <c r="AF142" i="42" s="1"/>
  <c r="AH17" i="36"/>
  <c r="AH17" i="42" s="1"/>
  <c r="AI71" i="36" l="1"/>
  <c r="AI71" i="42" s="1"/>
  <c r="AI70" i="42"/>
  <c r="AM35" i="38"/>
  <c r="AM35" i="44" s="1"/>
  <c r="AM30" i="44"/>
  <c r="AF6" i="45"/>
  <c r="AF27" i="41"/>
  <c r="AF29" i="41"/>
  <c r="AG24" i="41"/>
  <c r="AS99" i="36"/>
  <c r="AT127" i="36" s="1"/>
  <c r="AP9" i="38"/>
  <c r="AP9" i="44" s="1"/>
  <c r="AP22" i="38"/>
  <c r="AP22" i="44" s="1"/>
  <c r="AO9" i="38"/>
  <c r="AO16" i="39" s="1"/>
  <c r="AO22" i="38"/>
  <c r="AS35" i="39"/>
  <c r="AR37" i="39"/>
  <c r="AR37" i="46" s="1"/>
  <c r="AR103" i="36"/>
  <c r="AR105" i="36" s="1"/>
  <c r="AR106" i="36" s="1"/>
  <c r="AR37" i="38"/>
  <c r="AS37" i="38" s="1"/>
  <c r="AU7" i="39"/>
  <c r="AV7" i="39" s="1"/>
  <c r="X17" i="38"/>
  <c r="X26" i="39" s="1"/>
  <c r="X7" i="38"/>
  <c r="X12" i="38"/>
  <c r="AQ93" i="36"/>
  <c r="AQ94" i="36" s="1"/>
  <c r="AQ9" i="36"/>
  <c r="AQ9" i="42" s="1"/>
  <c r="AQ97" i="36"/>
  <c r="AQ98" i="36" s="1"/>
  <c r="AP13" i="36"/>
  <c r="AQ13" i="36" s="1"/>
  <c r="AQ13" i="42" s="1"/>
  <c r="AQ100" i="36"/>
  <c r="AQ101" i="36" s="1"/>
  <c r="AQ11" i="36"/>
  <c r="AI15" i="36"/>
  <c r="AI15" i="42" s="1"/>
  <c r="AI72" i="36"/>
  <c r="AI72" i="42" s="1"/>
  <c r="AJ70" i="36"/>
  <c r="AJ71" i="36" s="1"/>
  <c r="AJ12" i="36"/>
  <c r="AJ15" i="36" s="1"/>
  <c r="AH141" i="36"/>
  <c r="AH141" i="42" s="1"/>
  <c r="AH19" i="36"/>
  <c r="AH19" i="42" s="1"/>
  <c r="AH137" i="36"/>
  <c r="AH137" i="42" s="1"/>
  <c r="AJ130" i="36"/>
  <c r="AJ131" i="36" s="1"/>
  <c r="AG143" i="41" l="1"/>
  <c r="AG29" i="41"/>
  <c r="AF32" i="41"/>
  <c r="AF33" i="41"/>
  <c r="AG25" i="41"/>
  <c r="AF34" i="41"/>
  <c r="AG6" i="45"/>
  <c r="AF22" i="45"/>
  <c r="AF38" i="43"/>
  <c r="AT99" i="36"/>
  <c r="AT66" i="36"/>
  <c r="AU127" i="36" s="1"/>
  <c r="AO18" i="39"/>
  <c r="AO30" i="38"/>
  <c r="AO35" i="38" s="1"/>
  <c r="AO35" i="44" s="1"/>
  <c r="AQ9" i="38"/>
  <c r="AQ9" i="44" s="1"/>
  <c r="AP16" i="39"/>
  <c r="AQ22" i="38"/>
  <c r="AP18" i="39"/>
  <c r="AP18" i="46" s="1"/>
  <c r="AP30" i="38"/>
  <c r="AU14" i="38"/>
  <c r="AV14" i="38" s="1"/>
  <c r="AS103" i="36"/>
  <c r="AS105" i="36" s="1"/>
  <c r="AS106" i="36" s="1"/>
  <c r="AT35" i="39"/>
  <c r="AT37" i="38" s="1"/>
  <c r="AS37" i="39"/>
  <c r="AS37" i="46" s="1"/>
  <c r="X24" i="39"/>
  <c r="X27" i="39" s="1"/>
  <c r="AR13" i="36"/>
  <c r="AR13" i="42" s="1"/>
  <c r="AR9" i="36"/>
  <c r="AR9" i="42" s="1"/>
  <c r="AS9" i="36"/>
  <c r="AR11" i="36"/>
  <c r="AS13" i="36"/>
  <c r="AS13" i="42" s="1"/>
  <c r="AS11" i="36"/>
  <c r="AH142" i="36"/>
  <c r="AH142" i="42" s="1"/>
  <c r="AJ17" i="36"/>
  <c r="AL114" i="36"/>
  <c r="AL118" i="36" s="1"/>
  <c r="AL120" i="36" s="1"/>
  <c r="AL121" i="36" s="1"/>
  <c r="AL99" i="36"/>
  <c r="AL103" i="36" s="1"/>
  <c r="AJ72" i="36"/>
  <c r="AK70" i="36"/>
  <c r="AK12" i="36"/>
  <c r="AK15" i="36" s="1"/>
  <c r="AK15" i="42" s="1"/>
  <c r="AL66" i="36"/>
  <c r="AL70" i="36" s="1"/>
  <c r="AL70" i="42" s="1"/>
  <c r="AK130" i="36"/>
  <c r="AK131" i="36" s="1"/>
  <c r="AL127" i="36"/>
  <c r="AL130" i="36" s="1"/>
  <c r="AL131" i="36" s="1"/>
  <c r="AI17" i="36"/>
  <c r="AI17" i="42" s="1"/>
  <c r="AQ30" i="38" l="1"/>
  <c r="AQ22" i="44"/>
  <c r="AP35" i="38"/>
  <c r="AP35" i="44" s="1"/>
  <c r="AP30" i="44"/>
  <c r="AQ16" i="39"/>
  <c r="AQ16" i="46" s="1"/>
  <c r="AP16" i="46"/>
  <c r="AK71" i="36"/>
  <c r="AK72" i="36" s="1"/>
  <c r="AK72" i="42" s="1"/>
  <c r="AK70" i="42"/>
  <c r="AG38" i="43"/>
  <c r="AF41" i="43"/>
  <c r="AF147" i="41"/>
  <c r="AF55" i="45"/>
  <c r="AG22" i="45"/>
  <c r="AG27" i="41"/>
  <c r="AF146" i="41"/>
  <c r="AU99" i="36"/>
  <c r="AU66" i="36"/>
  <c r="AS9" i="38"/>
  <c r="AS22" i="38"/>
  <c r="AR9" i="38"/>
  <c r="AR22" i="38"/>
  <c r="AR22" i="44" s="1"/>
  <c r="AQ18" i="39"/>
  <c r="AQ18" i="46" s="1"/>
  <c r="AT37" i="39"/>
  <c r="AT37" i="46" s="1"/>
  <c r="AU35" i="39"/>
  <c r="AU37" i="39" s="1"/>
  <c r="AU37" i="46" s="1"/>
  <c r="AU103" i="36"/>
  <c r="AU105" i="36" s="1"/>
  <c r="AU106" i="36" s="1"/>
  <c r="AT103" i="36"/>
  <c r="AT105" i="36" s="1"/>
  <c r="AT106" i="36" s="1"/>
  <c r="X39" i="39"/>
  <c r="X41" i="39" s="1"/>
  <c r="AU9" i="36"/>
  <c r="AU9" i="42" s="1"/>
  <c r="AT9" i="36"/>
  <c r="AU11" i="36"/>
  <c r="AV93" i="36"/>
  <c r="AV94" i="36" s="1"/>
  <c r="AU13" i="36"/>
  <c r="AL12" i="36"/>
  <c r="AL15" i="36" s="1"/>
  <c r="AL105" i="36"/>
  <c r="AL106" i="36" s="1"/>
  <c r="AK17" i="36"/>
  <c r="AM130" i="36"/>
  <c r="AM131" i="36" s="1"/>
  <c r="AI141" i="36"/>
  <c r="AI141" i="42" s="1"/>
  <c r="AI19" i="36"/>
  <c r="AI19" i="42" s="1"/>
  <c r="AI137" i="36"/>
  <c r="AI137" i="42" s="1"/>
  <c r="AJ141" i="36"/>
  <c r="AJ19" i="36"/>
  <c r="AM12" i="36"/>
  <c r="AM70" i="36"/>
  <c r="AJ137" i="36"/>
  <c r="AL71" i="36" l="1"/>
  <c r="AK71" i="42"/>
  <c r="AK137" i="36"/>
  <c r="AK137" i="42" s="1"/>
  <c r="AK17" i="42"/>
  <c r="AQ35" i="38"/>
  <c r="AQ35" i="44" s="1"/>
  <c r="AQ30" i="44"/>
  <c r="AL17" i="36"/>
  <c r="AL141" i="36" s="1"/>
  <c r="AL141" i="42" s="1"/>
  <c r="AL15" i="42"/>
  <c r="AM71" i="36"/>
  <c r="AM71" i="42" s="1"/>
  <c r="AM70" i="42"/>
  <c r="AR16" i="39"/>
  <c r="AR16" i="46" s="1"/>
  <c r="AR9" i="44"/>
  <c r="AG31" i="41"/>
  <c r="AG30" i="41"/>
  <c r="AF148" i="41"/>
  <c r="AG41" i="43"/>
  <c r="AG55" i="45"/>
  <c r="AF62" i="43"/>
  <c r="AF42" i="43"/>
  <c r="AV35" i="39"/>
  <c r="AV37" i="39" s="1"/>
  <c r="AV37" i="46" s="1"/>
  <c r="AR30" i="38"/>
  <c r="AR18" i="39"/>
  <c r="AR18" i="46" s="1"/>
  <c r="AU22" i="38"/>
  <c r="AU22" i="44" s="1"/>
  <c r="AU9" i="38"/>
  <c r="AU9" i="44" s="1"/>
  <c r="AS18" i="39"/>
  <c r="AS18" i="46" s="1"/>
  <c r="AS30" i="38"/>
  <c r="AS35" i="38" s="1"/>
  <c r="AS35" i="44" s="1"/>
  <c r="AT22" i="38"/>
  <c r="AT9" i="38"/>
  <c r="AT16" i="39" s="1"/>
  <c r="AS16" i="39"/>
  <c r="AS16" i="46" s="1"/>
  <c r="AU37" i="38"/>
  <c r="AV37" i="38" s="1"/>
  <c r="Y40" i="39"/>
  <c r="X6" i="38"/>
  <c r="Y21" i="36" s="1"/>
  <c r="AV9" i="36"/>
  <c r="AV9" i="42" s="1"/>
  <c r="AT13" i="36"/>
  <c r="AV13" i="36" s="1"/>
  <c r="AV13" i="42" s="1"/>
  <c r="AV100" i="36"/>
  <c r="AV101" i="36" s="1"/>
  <c r="AT11" i="36"/>
  <c r="AV11" i="36" s="1"/>
  <c r="AV97" i="36"/>
  <c r="AV98" i="36" s="1"/>
  <c r="AN130" i="36"/>
  <c r="AN131" i="36" s="1"/>
  <c r="AK141" i="36"/>
  <c r="AK141" i="42" s="1"/>
  <c r="AK19" i="36"/>
  <c r="AK19" i="42" s="1"/>
  <c r="AM72" i="36"/>
  <c r="AM72" i="42" s="1"/>
  <c r="AM15" i="36"/>
  <c r="AM15" i="42" s="1"/>
  <c r="AI142" i="36"/>
  <c r="AI142" i="42" s="1"/>
  <c r="AJ142" i="36"/>
  <c r="AL71" i="42" l="1"/>
  <c r="AL72" i="36"/>
  <c r="AL72" i="42" s="1"/>
  <c r="AR35" i="38"/>
  <c r="AR35" i="44" s="1"/>
  <c r="AR30" i="44"/>
  <c r="AL19" i="36"/>
  <c r="AL17" i="42"/>
  <c r="AF12" i="43"/>
  <c r="AF7" i="43"/>
  <c r="AF17" i="43"/>
  <c r="AG148" i="41"/>
  <c r="AG32" i="41"/>
  <c r="AG42" i="43"/>
  <c r="AG34" i="41"/>
  <c r="AG33" i="41"/>
  <c r="X46" i="39"/>
  <c r="X48" i="39" s="1"/>
  <c r="X11" i="38"/>
  <c r="X20" i="38" s="1"/>
  <c r="X43" i="38" s="1"/>
  <c r="AT18" i="39"/>
  <c r="AT30" i="38"/>
  <c r="AT35" i="38" s="1"/>
  <c r="AT35" i="44" s="1"/>
  <c r="AV9" i="38"/>
  <c r="AV9" i="44" s="1"/>
  <c r="AU16" i="39"/>
  <c r="AV22" i="38"/>
  <c r="AU18" i="39"/>
  <c r="AU30" i="38"/>
  <c r="AK142" i="36"/>
  <c r="AK142" i="42" s="1"/>
  <c r="AM17" i="36"/>
  <c r="AM17" i="42" s="1"/>
  <c r="AN70" i="36"/>
  <c r="AN12" i="36"/>
  <c r="AN71" i="36" l="1"/>
  <c r="AN71" i="42" s="1"/>
  <c r="AN70" i="42"/>
  <c r="AU35" i="38"/>
  <c r="AU35" i="44" s="1"/>
  <c r="AU30" i="44"/>
  <c r="AV18" i="39"/>
  <c r="AV18" i="46" s="1"/>
  <c r="AU18" i="46"/>
  <c r="AV30" i="38"/>
  <c r="AV22" i="44"/>
  <c r="AV16" i="39"/>
  <c r="AV16" i="46" s="1"/>
  <c r="AU16" i="46"/>
  <c r="AL65" i="38"/>
  <c r="AL19" i="42"/>
  <c r="AL142" i="36"/>
  <c r="AL142" i="42" s="1"/>
  <c r="AG36" i="41"/>
  <c r="AG146" i="41"/>
  <c r="AG147" i="41"/>
  <c r="AG12" i="43"/>
  <c r="AF26" i="45"/>
  <c r="AG17" i="43"/>
  <c r="AF24" i="45"/>
  <c r="AG7" i="43"/>
  <c r="AO70" i="36"/>
  <c r="AO71" i="36" s="1"/>
  <c r="AN15" i="36"/>
  <c r="AN15" i="42" s="1"/>
  <c r="AM141" i="36"/>
  <c r="AM141" i="42" s="1"/>
  <c r="AM19" i="36"/>
  <c r="AM19" i="42" s="1"/>
  <c r="AM137" i="36"/>
  <c r="AM137" i="42" s="1"/>
  <c r="AN72" i="36"/>
  <c r="AN72" i="42" s="1"/>
  <c r="AV35" i="38" l="1"/>
  <c r="AV35" i="44" s="1"/>
  <c r="AV30" i="44"/>
  <c r="AL64" i="38"/>
  <c r="AL64" i="44" s="1"/>
  <c r="AL65" i="44"/>
  <c r="AF27" i="45"/>
  <c r="AG24" i="45"/>
  <c r="AG26" i="45"/>
  <c r="Y23" i="36"/>
  <c r="AQ114" i="36"/>
  <c r="AQ118" i="36" s="1"/>
  <c r="AQ120" i="36" s="1"/>
  <c r="AQ121" i="36" s="1"/>
  <c r="AQ127" i="36"/>
  <c r="AQ130" i="36" s="1"/>
  <c r="AQ131" i="36" s="1"/>
  <c r="AO130" i="36"/>
  <c r="AO131" i="36" s="1"/>
  <c r="AO72" i="36"/>
  <c r="AO12" i="36"/>
  <c r="AN17" i="36"/>
  <c r="AN17" i="42" s="1"/>
  <c r="AM142" i="36"/>
  <c r="AM142" i="42" s="1"/>
  <c r="AG27" i="45" l="1"/>
  <c r="AF39" i="45"/>
  <c r="Y24" i="36"/>
  <c r="Y25" i="36" s="1"/>
  <c r="Y6" i="39" s="1"/>
  <c r="AN141" i="36"/>
  <c r="AN141" i="42" s="1"/>
  <c r="AN19" i="36"/>
  <c r="AN19" i="42" s="1"/>
  <c r="AN137" i="36"/>
  <c r="AN137" i="42" s="1"/>
  <c r="AP12" i="36"/>
  <c r="AP15" i="36" s="1"/>
  <c r="AP15" i="42" s="1"/>
  <c r="AP70" i="36"/>
  <c r="AQ66" i="36"/>
  <c r="AQ70" i="36" s="1"/>
  <c r="AQ70" i="42" s="1"/>
  <c r="AO15" i="36"/>
  <c r="AQ12" i="36"/>
  <c r="AQ15" i="36" s="1"/>
  <c r="AP130" i="36"/>
  <c r="AP131" i="36" s="1"/>
  <c r="AQ99" i="36"/>
  <c r="AQ103" i="36" s="1"/>
  <c r="AP71" i="36" l="1"/>
  <c r="AP71" i="42" s="1"/>
  <c r="AP70" i="42"/>
  <c r="AQ17" i="36"/>
  <c r="AQ17" i="42" s="1"/>
  <c r="AQ15" i="42"/>
  <c r="AF41" i="45"/>
  <c r="AG39" i="45"/>
  <c r="Y38" i="38"/>
  <c r="Y22" i="39"/>
  <c r="Y27" i="36"/>
  <c r="AR130" i="36"/>
  <c r="AR131" i="36" s="1"/>
  <c r="AQ141" i="36"/>
  <c r="AQ141" i="42" s="1"/>
  <c r="AQ19" i="36"/>
  <c r="AR12" i="36"/>
  <c r="AR70" i="36"/>
  <c r="AN142" i="36"/>
  <c r="AN142" i="42" s="1"/>
  <c r="AO17" i="36"/>
  <c r="AP72" i="36"/>
  <c r="AP72" i="42" s="1"/>
  <c r="AQ71" i="36"/>
  <c r="AP17" i="36"/>
  <c r="AQ105" i="36"/>
  <c r="AQ106" i="36" s="1"/>
  <c r="AP137" i="36" l="1"/>
  <c r="AP137" i="42" s="1"/>
  <c r="AP17" i="42"/>
  <c r="AR71" i="36"/>
  <c r="AR71" i="42" s="1"/>
  <c r="AR70" i="42"/>
  <c r="AQ65" i="38"/>
  <c r="AQ19" i="42"/>
  <c r="AQ72" i="36"/>
  <c r="AQ72" i="42" s="1"/>
  <c r="AQ71" i="42"/>
  <c r="AF6" i="43"/>
  <c r="AG41" i="45"/>
  <c r="Y55" i="39"/>
  <c r="Y148" i="36" s="1"/>
  <c r="Y41" i="38"/>
  <c r="Y32" i="36"/>
  <c r="Y33" i="36"/>
  <c r="Y146" i="36" s="1"/>
  <c r="AQ142" i="36"/>
  <c r="AQ142" i="42" s="1"/>
  <c r="AO19" i="36"/>
  <c r="AO141" i="36"/>
  <c r="AO137" i="36"/>
  <c r="AP141" i="36"/>
  <c r="AP141" i="42" s="1"/>
  <c r="AP19" i="36"/>
  <c r="AP19" i="42" s="1"/>
  <c r="AR72" i="36"/>
  <c r="AR72" i="42" s="1"/>
  <c r="AS70" i="36"/>
  <c r="AR15" i="36"/>
  <c r="AS71" i="36" l="1"/>
  <c r="AS71" i="42" s="1"/>
  <c r="AS70" i="42"/>
  <c r="AR17" i="36"/>
  <c r="AR15" i="42"/>
  <c r="AQ64" i="38"/>
  <c r="AQ64" i="44" s="1"/>
  <c r="AQ65" i="44"/>
  <c r="AL40" i="45"/>
  <c r="AH40" i="45"/>
  <c r="AF46" i="45"/>
  <c r="AH21" i="41"/>
  <c r="AG6" i="43"/>
  <c r="AF11" i="43"/>
  <c r="Y62" i="38"/>
  <c r="Y42" i="38"/>
  <c r="AS130" i="36"/>
  <c r="AS131" i="36" s="1"/>
  <c r="AO142" i="36"/>
  <c r="AR19" i="36"/>
  <c r="AR19" i="42" s="1"/>
  <c r="AR141" i="36"/>
  <c r="AR141" i="42" s="1"/>
  <c r="AS72" i="36"/>
  <c r="AS72" i="42" s="1"/>
  <c r="AS12" i="36"/>
  <c r="AP142" i="36"/>
  <c r="AP142" i="42" s="1"/>
  <c r="AR137" i="36" l="1"/>
  <c r="AR137" i="42" s="1"/>
  <c r="AR17" i="42"/>
  <c r="AH23" i="41"/>
  <c r="AF20" i="43"/>
  <c r="AG46" i="45"/>
  <c r="AG11" i="43"/>
  <c r="AF48" i="45"/>
  <c r="Y17" i="38"/>
  <c r="Y7" i="38"/>
  <c r="Y12" i="38"/>
  <c r="AR142" i="36"/>
  <c r="AR142" i="42" s="1"/>
  <c r="AS15" i="36"/>
  <c r="AS17" i="36" l="1"/>
  <c r="AS15" i="42"/>
  <c r="AG20" i="43"/>
  <c r="AG48" i="45"/>
  <c r="AF43" i="43"/>
  <c r="AH24" i="41"/>
  <c r="AH25" i="41"/>
  <c r="Y24" i="39"/>
  <c r="Y26" i="39"/>
  <c r="AV114" i="36"/>
  <c r="AV118" i="36" s="1"/>
  <c r="AV120" i="36" s="1"/>
  <c r="AV121" i="36" s="1"/>
  <c r="AT130" i="36"/>
  <c r="AT131" i="36" s="1"/>
  <c r="AU130" i="36"/>
  <c r="AU131" i="36" s="1"/>
  <c r="AS19" i="36"/>
  <c r="AS19" i="42" s="1"/>
  <c r="AS141" i="36"/>
  <c r="AS141" i="42" s="1"/>
  <c r="AV66" i="36"/>
  <c r="AV70" i="36" s="1"/>
  <c r="AV70" i="42" s="1"/>
  <c r="AT70" i="36"/>
  <c r="AT71" i="36" s="1"/>
  <c r="AT12" i="36"/>
  <c r="AS137" i="36" l="1"/>
  <c r="AS137" i="42" s="1"/>
  <c r="AS17" i="42"/>
  <c r="AH6" i="45"/>
  <c r="AH27" i="41"/>
  <c r="AH29" i="41"/>
  <c r="AG43" i="43"/>
  <c r="Y27" i="39"/>
  <c r="Y39" i="39" s="1"/>
  <c r="Y41" i="39" s="1"/>
  <c r="AS142" i="36"/>
  <c r="AS142" i="42" s="1"/>
  <c r="AV99" i="36"/>
  <c r="AV103" i="36" s="1"/>
  <c r="AV127" i="36"/>
  <c r="AV130" i="36" s="1"/>
  <c r="AV131" i="36" s="1"/>
  <c r="AT15" i="36"/>
  <c r="AT17" i="36" s="1"/>
  <c r="AT137" i="36" s="1"/>
  <c r="AT72" i="36"/>
  <c r="AU12" i="36"/>
  <c r="AU15" i="36" s="1"/>
  <c r="AU70" i="36"/>
  <c r="AU71" i="36" l="1"/>
  <c r="AU70" i="42"/>
  <c r="AU17" i="36"/>
  <c r="AU17" i="42" s="1"/>
  <c r="AU15" i="42"/>
  <c r="AH34" i="41"/>
  <c r="AH33" i="41"/>
  <c r="AH32" i="41"/>
  <c r="AH22" i="45"/>
  <c r="AH38" i="43"/>
  <c r="Y6" i="38"/>
  <c r="Z40" i="39"/>
  <c r="AV12" i="36"/>
  <c r="AV15" i="36" s="1"/>
  <c r="AU141" i="36"/>
  <c r="AU141" i="42" s="1"/>
  <c r="AU19" i="36"/>
  <c r="AU19" i="42" s="1"/>
  <c r="AT141" i="36"/>
  <c r="AT19" i="36"/>
  <c r="AV105" i="36"/>
  <c r="AV106" i="36" s="1"/>
  <c r="AU72" i="36"/>
  <c r="AU72" i="42" s="1"/>
  <c r="AU137" i="36"/>
  <c r="AU137" i="42" s="1"/>
  <c r="AV71" i="36" l="1"/>
  <c r="AU71" i="42"/>
  <c r="AV17" i="36"/>
  <c r="AV17" i="42" s="1"/>
  <c r="AV15" i="42"/>
  <c r="AH41" i="43"/>
  <c r="AH147" i="41"/>
  <c r="AH55" i="45"/>
  <c r="AH146" i="41"/>
  <c r="Z21" i="36"/>
  <c r="Y46" i="39"/>
  <c r="Y48" i="39" s="1"/>
  <c r="Y11" i="38"/>
  <c r="Y20" i="38" s="1"/>
  <c r="Y43" i="38" s="1"/>
  <c r="AT142" i="36"/>
  <c r="AU142" i="36"/>
  <c r="AU142" i="42" s="1"/>
  <c r="AV19" i="36"/>
  <c r="AV141" i="36"/>
  <c r="AV141" i="42" s="1"/>
  <c r="AV71" i="42" l="1"/>
  <c r="AV72" i="36"/>
  <c r="AV72" i="42" s="1"/>
  <c r="AV65" i="38"/>
  <c r="AV19" i="42"/>
  <c r="AH148" i="41"/>
  <c r="AH42" i="43"/>
  <c r="AH62" i="43"/>
  <c r="Z23" i="36"/>
  <c r="Z24" i="36" s="1"/>
  <c r="AV142" i="36"/>
  <c r="AV142" i="42" s="1"/>
  <c r="AV64" i="38" l="1"/>
  <c r="AV64" i="44" s="1"/>
  <c r="AV65" i="44"/>
  <c r="AH12" i="43"/>
  <c r="AH7" i="43"/>
  <c r="AH17" i="43"/>
  <c r="Z25" i="36"/>
  <c r="Z6" i="39" s="1"/>
  <c r="AH24" i="45" l="1"/>
  <c r="AH26" i="45"/>
  <c r="Z22" i="39"/>
  <c r="Z38" i="38"/>
  <c r="Z27" i="36"/>
  <c r="AH27" i="45" l="1"/>
  <c r="Z41" i="38"/>
  <c r="Z55" i="39"/>
  <c r="Z148" i="36" s="1"/>
  <c r="Z32" i="36"/>
  <c r="Z33" i="36"/>
  <c r="Z146" i="36" s="1"/>
  <c r="AH39" i="45" l="1"/>
  <c r="Z42" i="38"/>
  <c r="Z62" i="38"/>
  <c r="AH41" i="45" l="1"/>
  <c r="Z7" i="38"/>
  <c r="Z12" i="38"/>
  <c r="Z17" i="38"/>
  <c r="AH6" i="43" l="1"/>
  <c r="AI40" i="45"/>
  <c r="Z26" i="39"/>
  <c r="Z24" i="39"/>
  <c r="AH46" i="45" l="1"/>
  <c r="AI21" i="41"/>
  <c r="AH11" i="43"/>
  <c r="Z27" i="39"/>
  <c r="Z39" i="39" s="1"/>
  <c r="Z41" i="39" s="1"/>
  <c r="AH20" i="43" l="1"/>
  <c r="AI23" i="41"/>
  <c r="AH48" i="45"/>
  <c r="Z6" i="38"/>
  <c r="AA40" i="39"/>
  <c r="AI24" i="41" l="1"/>
  <c r="AH43" i="43"/>
  <c r="AA21" i="36"/>
  <c r="Z46" i="39"/>
  <c r="Z48" i="39" s="1"/>
  <c r="Z11" i="38"/>
  <c r="Z20" i="38" s="1"/>
  <c r="Z43" i="38" s="1"/>
  <c r="AI25" i="41" l="1"/>
  <c r="AI29" i="41"/>
  <c r="AA23" i="36"/>
  <c r="AB21" i="36"/>
  <c r="AB23" i="36" s="1"/>
  <c r="AI34" i="41" l="1"/>
  <c r="AI6" i="45"/>
  <c r="AI27" i="41"/>
  <c r="AA24" i="36"/>
  <c r="AB24" i="36" s="1"/>
  <c r="AB143" i="36" s="1"/>
  <c r="AI33" i="41" l="1"/>
  <c r="AI32" i="41"/>
  <c r="AI22" i="45"/>
  <c r="AI38" i="43"/>
  <c r="AI147" i="41"/>
  <c r="AA25" i="36"/>
  <c r="AA6" i="39" s="1"/>
  <c r="AB6" i="39" s="1"/>
  <c r="AB22" i="39" s="1"/>
  <c r="AB55" i="39" s="1"/>
  <c r="AB148" i="36" s="1"/>
  <c r="AB25" i="36"/>
  <c r="AB27" i="36" s="1"/>
  <c r="AI41" i="43" l="1"/>
  <c r="AI146" i="41"/>
  <c r="AI55" i="45"/>
  <c r="AA27" i="36"/>
  <c r="AB31" i="36" s="1"/>
  <c r="AB33" i="36" s="1"/>
  <c r="AB36" i="36" s="1"/>
  <c r="AA22" i="39"/>
  <c r="AA38" i="38"/>
  <c r="AI148" i="41" l="1"/>
  <c r="AI62" i="43"/>
  <c r="AI42" i="43"/>
  <c r="AA33" i="36"/>
  <c r="AA146" i="36" s="1"/>
  <c r="AA32" i="36"/>
  <c r="AB30" i="36"/>
  <c r="AB32" i="36" s="1"/>
  <c r="AB38" i="38"/>
  <c r="AB41" i="38" s="1"/>
  <c r="AB42" i="38" s="1"/>
  <c r="AA41" i="38"/>
  <c r="AA55" i="39"/>
  <c r="AA148" i="36" s="1"/>
  <c r="AB146" i="36"/>
  <c r="AI7" i="43" l="1"/>
  <c r="AI12" i="43"/>
  <c r="AI17" i="43"/>
  <c r="AA62" i="38"/>
  <c r="AA42" i="38"/>
  <c r="AI26" i="45" l="1"/>
  <c r="AI24" i="45"/>
  <c r="AA12" i="38"/>
  <c r="AB12" i="38" s="1"/>
  <c r="AA7" i="38"/>
  <c r="AA17" i="38"/>
  <c r="AI27" i="45" l="1"/>
  <c r="AA26" i="39"/>
  <c r="AB26" i="39" s="1"/>
  <c r="AB17" i="38"/>
  <c r="AA24" i="39"/>
  <c r="AB7" i="38"/>
  <c r="AI39" i="45" l="1"/>
  <c r="AA27" i="39"/>
  <c r="AA39" i="39" s="1"/>
  <c r="AA41" i="39" s="1"/>
  <c r="AA6" i="38" s="1"/>
  <c r="AB24" i="39"/>
  <c r="AB27" i="39" s="1"/>
  <c r="AB39" i="39" s="1"/>
  <c r="AB41" i="39" s="1"/>
  <c r="AI41" i="45" l="1"/>
  <c r="AC40" i="39"/>
  <c r="AG40" i="39"/>
  <c r="AC21" i="36"/>
  <c r="AA46" i="39"/>
  <c r="AA48" i="39" s="1"/>
  <c r="AA11" i="38"/>
  <c r="AA20" i="38" s="1"/>
  <c r="AA43" i="38" s="1"/>
  <c r="AB6" i="38"/>
  <c r="AI6" i="43" l="1"/>
  <c r="AJ40" i="45"/>
  <c r="AB46" i="39"/>
  <c r="AB48" i="39" s="1"/>
  <c r="AB11" i="38"/>
  <c r="AB20" i="38" s="1"/>
  <c r="AB43" i="38" s="1"/>
  <c r="AC23" i="36"/>
  <c r="AC24" i="36" l="1"/>
  <c r="AC23" i="42"/>
  <c r="AI46" i="45"/>
  <c r="AJ21" i="41"/>
  <c r="AI11" i="43"/>
  <c r="AC25" i="36" l="1"/>
  <c r="AC24" i="42"/>
  <c r="AI20" i="43"/>
  <c r="AI48" i="45"/>
  <c r="AJ23" i="41"/>
  <c r="AC25" i="42" l="1"/>
  <c r="AC27" i="36"/>
  <c r="AC6" i="39"/>
  <c r="AJ24" i="41"/>
  <c r="AJ25" i="41"/>
  <c r="AI43" i="43"/>
  <c r="AC6" i="46" l="1"/>
  <c r="AC22" i="39"/>
  <c r="AC38" i="38"/>
  <c r="AC33" i="36"/>
  <c r="AC27" i="42"/>
  <c r="AC32" i="36"/>
  <c r="AC32" i="42" s="1"/>
  <c r="AJ6" i="45"/>
  <c r="AJ27" i="41"/>
  <c r="AJ29" i="41"/>
  <c r="AC146" i="36" l="1"/>
  <c r="AC146" i="42" s="1"/>
  <c r="AC33" i="42"/>
  <c r="AC55" i="39"/>
  <c r="AC22" i="46"/>
  <c r="AC41" i="38"/>
  <c r="AC38" i="44"/>
  <c r="AJ34" i="41"/>
  <c r="AJ33" i="41"/>
  <c r="AJ32" i="41"/>
  <c r="AJ22" i="45"/>
  <c r="AJ38" i="43"/>
  <c r="AC41" i="44" l="1"/>
  <c r="AC62" i="38"/>
  <c r="AC62" i="44" s="1"/>
  <c r="AC42" i="38"/>
  <c r="AC148" i="36"/>
  <c r="AC148" i="42" s="1"/>
  <c r="AC55" i="46"/>
  <c r="AJ41" i="43"/>
  <c r="AJ55" i="45"/>
  <c r="AJ146" i="41"/>
  <c r="AJ147" i="41"/>
  <c r="AC42" i="44" l="1"/>
  <c r="AC12" i="38"/>
  <c r="AC12" i="44" s="1"/>
  <c r="AC17" i="38"/>
  <c r="AC7" i="38"/>
  <c r="AJ148" i="41"/>
  <c r="AJ42" i="43"/>
  <c r="AJ62" i="43"/>
  <c r="AC7" i="44" l="1"/>
  <c r="AC24" i="39"/>
  <c r="AC26" i="39"/>
  <c r="AC26" i="46" s="1"/>
  <c r="AC17" i="44"/>
  <c r="AJ12" i="43"/>
  <c r="AJ7" i="43"/>
  <c r="AJ17" i="43"/>
  <c r="AC27" i="39" l="1"/>
  <c r="AC24" i="46"/>
  <c r="AJ24" i="45"/>
  <c r="AJ26" i="45"/>
  <c r="AC39" i="39" l="1"/>
  <c r="AC27" i="46"/>
  <c r="AJ27" i="45"/>
  <c r="AC41" i="39" l="1"/>
  <c r="AC39" i="46"/>
  <c r="AJ39" i="45"/>
  <c r="AC41" i="46" l="1"/>
  <c r="AD40" i="39"/>
  <c r="AD40" i="46" s="1"/>
  <c r="AC6" i="38"/>
  <c r="AJ41" i="45"/>
  <c r="AC6" i="44" l="1"/>
  <c r="AC46" i="39"/>
  <c r="AC11" i="38"/>
  <c r="AD21" i="36"/>
  <c r="AJ6" i="43"/>
  <c r="AK40" i="45"/>
  <c r="AC48" i="39" l="1"/>
  <c r="AC48" i="46" s="1"/>
  <c r="AC46" i="46"/>
  <c r="AD23" i="36"/>
  <c r="AD21" i="42"/>
  <c r="AC20" i="38"/>
  <c r="AC11" i="44"/>
  <c r="AJ46" i="45"/>
  <c r="AK21" i="41"/>
  <c r="AJ11" i="43"/>
  <c r="AC43" i="38" l="1"/>
  <c r="AC43" i="44" s="1"/>
  <c r="AC20" i="44"/>
  <c r="AD23" i="42"/>
  <c r="AD24" i="36"/>
  <c r="AJ20" i="43"/>
  <c r="AK23" i="41"/>
  <c r="AL21" i="41"/>
  <c r="AJ48" i="45"/>
  <c r="AD25" i="36" l="1"/>
  <c r="AD24" i="42"/>
  <c r="AL23" i="41"/>
  <c r="AJ43" i="43"/>
  <c r="AK24" i="41"/>
  <c r="AK25" i="41" s="1"/>
  <c r="AD25" i="42" l="1"/>
  <c r="AD27" i="36"/>
  <c r="AD6" i="39"/>
  <c r="AK6" i="45"/>
  <c r="AK27" i="41"/>
  <c r="AL24" i="41"/>
  <c r="AL25" i="41" s="1"/>
  <c r="AK29" i="41"/>
  <c r="AD6" i="46" l="1"/>
  <c r="AD22" i="39"/>
  <c r="AD38" i="38"/>
  <c r="AD27" i="42"/>
  <c r="AD33" i="36"/>
  <c r="AD32" i="36"/>
  <c r="AD32" i="42" s="1"/>
  <c r="AL143" i="41"/>
  <c r="AL29" i="41"/>
  <c r="AL27" i="41"/>
  <c r="AK34" i="41"/>
  <c r="AK32" i="41"/>
  <c r="AK33" i="41"/>
  <c r="AL6" i="45"/>
  <c r="AK22" i="45"/>
  <c r="AK38" i="43"/>
  <c r="AD146" i="36" l="1"/>
  <c r="AD146" i="42" s="1"/>
  <c r="AD33" i="42"/>
  <c r="AD55" i="39"/>
  <c r="AD22" i="46"/>
  <c r="AD41" i="38"/>
  <c r="AD38" i="44"/>
  <c r="AL38" i="43"/>
  <c r="AK41" i="43"/>
  <c r="AK146" i="41"/>
  <c r="AK147" i="41"/>
  <c r="AL22" i="45"/>
  <c r="AK55" i="45"/>
  <c r="AL30" i="41"/>
  <c r="AL31" i="41"/>
  <c r="AL34" i="41" s="1"/>
  <c r="AL33" i="41" l="1"/>
  <c r="AD41" i="44"/>
  <c r="AD42" i="38"/>
  <c r="AD62" i="38"/>
  <c r="AD62" i="44" s="1"/>
  <c r="AD148" i="36"/>
  <c r="AD148" i="42" s="1"/>
  <c r="AD55" i="46"/>
  <c r="AL146" i="41"/>
  <c r="AL36" i="41"/>
  <c r="AL32" i="41"/>
  <c r="AL59" i="45"/>
  <c r="AL147" i="41"/>
  <c r="AL149" i="41"/>
  <c r="AL41" i="43"/>
  <c r="AL55" i="45"/>
  <c r="AK148" i="41"/>
  <c r="AK42" i="43"/>
  <c r="AK62" i="43"/>
  <c r="AD42" i="44" l="1"/>
  <c r="AD12" i="38"/>
  <c r="AD12" i="44" s="1"/>
  <c r="AD17" i="38"/>
  <c r="AD7" i="38"/>
  <c r="AL148" i="41"/>
  <c r="AK12" i="43"/>
  <c r="AK7" i="43"/>
  <c r="AK17" i="43"/>
  <c r="AL42" i="43"/>
  <c r="AL61" i="45"/>
  <c r="AD7" i="44" l="1"/>
  <c r="AD24" i="39"/>
  <c r="AD26" i="39"/>
  <c r="AD26" i="46" s="1"/>
  <c r="AD17" i="44"/>
  <c r="AK26" i="45"/>
  <c r="AL17" i="43"/>
  <c r="AK24" i="45"/>
  <c r="AL7" i="43"/>
  <c r="AL12" i="43"/>
  <c r="AD27" i="39" l="1"/>
  <c r="AD24" i="46"/>
  <c r="AK27" i="45"/>
  <c r="AL24" i="45"/>
  <c r="AL26" i="45"/>
  <c r="AD39" i="39" l="1"/>
  <c r="AD27" i="46"/>
  <c r="AL27" i="45"/>
  <c r="AK39" i="45"/>
  <c r="AD41" i="39" l="1"/>
  <c r="AD39" i="46"/>
  <c r="AK41" i="45"/>
  <c r="AL39" i="45"/>
  <c r="AD41" i="46" l="1"/>
  <c r="AE40" i="39"/>
  <c r="AE40" i="46" s="1"/>
  <c r="AD6" i="38"/>
  <c r="AL41" i="45"/>
  <c r="AK6" i="43"/>
  <c r="AD11" i="38" l="1"/>
  <c r="AD6" i="44"/>
  <c r="AD46" i="39"/>
  <c r="AE21" i="36"/>
  <c r="AL6" i="43"/>
  <c r="AK46" i="45"/>
  <c r="AM21" i="41"/>
  <c r="AK11" i="43"/>
  <c r="AM40" i="45"/>
  <c r="AQ40" i="45"/>
  <c r="AD48" i="39" l="1"/>
  <c r="AD48" i="46" s="1"/>
  <c r="AD46" i="46"/>
  <c r="AE23" i="36"/>
  <c r="AE21" i="42"/>
  <c r="AD20" i="38"/>
  <c r="AD11" i="44"/>
  <c r="AK20" i="43"/>
  <c r="AL46" i="45"/>
  <c r="AL11" i="43"/>
  <c r="AM23" i="41"/>
  <c r="AK48" i="45"/>
  <c r="AD43" i="38" l="1"/>
  <c r="AD43" i="44" s="1"/>
  <c r="AD20" i="44"/>
  <c r="AE24" i="36"/>
  <c r="AE23" i="42"/>
  <c r="AM24" i="41"/>
  <c r="AL20" i="43"/>
  <c r="AL48" i="45"/>
  <c r="AK43" i="43"/>
  <c r="AE25" i="36" l="1"/>
  <c r="AE24" i="42"/>
  <c r="AM29" i="41"/>
  <c r="AL43" i="43"/>
  <c r="AM25" i="41"/>
  <c r="AE27" i="36" l="1"/>
  <c r="AE25" i="42"/>
  <c r="AE6" i="39"/>
  <c r="AM27" i="41"/>
  <c r="AM6" i="45"/>
  <c r="AM34" i="41"/>
  <c r="AE27" i="42" l="1"/>
  <c r="AE33" i="36"/>
  <c r="AE32" i="36"/>
  <c r="AE32" i="42" s="1"/>
  <c r="AE38" i="38"/>
  <c r="AE6" i="46"/>
  <c r="AE22" i="39"/>
  <c r="AM147" i="41"/>
  <c r="AM22" i="45"/>
  <c r="AM38" i="43"/>
  <c r="AM33" i="41"/>
  <c r="AM32" i="41"/>
  <c r="AE41" i="38" l="1"/>
  <c r="AE38" i="44"/>
  <c r="AE146" i="36"/>
  <c r="AE146" i="42" s="1"/>
  <c r="AE33" i="42"/>
  <c r="AE55" i="39"/>
  <c r="AE22" i="46"/>
  <c r="AM41" i="43"/>
  <c r="AM146" i="41"/>
  <c r="AM55" i="45"/>
  <c r="AE148" i="36" l="1"/>
  <c r="AE148" i="42" s="1"/>
  <c r="AE55" i="46"/>
  <c r="AE42" i="38"/>
  <c r="AE41" i="44"/>
  <c r="AE62" i="38"/>
  <c r="AE62" i="44" s="1"/>
  <c r="AM148" i="41"/>
  <c r="AM42" i="43"/>
  <c r="AM62" i="43"/>
  <c r="AE42" i="44" l="1"/>
  <c r="AE7" i="38"/>
  <c r="AE12" i="38"/>
  <c r="AE12" i="44" s="1"/>
  <c r="AE17" i="38"/>
  <c r="AM12" i="43"/>
  <c r="AM7" i="43"/>
  <c r="AM17" i="43"/>
  <c r="AE17" i="44" l="1"/>
  <c r="AE26" i="39"/>
  <c r="AE26" i="46" s="1"/>
  <c r="AE7" i="44"/>
  <c r="AE24" i="39"/>
  <c r="AM24" i="45"/>
  <c r="AM26" i="45"/>
  <c r="AE24" i="46" l="1"/>
  <c r="AE27" i="39"/>
  <c r="AM27" i="45"/>
  <c r="AE39" i="39" l="1"/>
  <c r="AE27" i="46"/>
  <c r="AM39" i="45"/>
  <c r="AE41" i="39" l="1"/>
  <c r="AE39" i="46"/>
  <c r="AM41" i="45"/>
  <c r="AF40" i="39" l="1"/>
  <c r="AF40" i="46" s="1"/>
  <c r="AE41" i="46"/>
  <c r="AE6" i="38"/>
  <c r="AM6" i="43"/>
  <c r="AN40" i="45"/>
  <c r="AE46" i="39" l="1"/>
  <c r="AE6" i="44"/>
  <c r="AF21" i="36"/>
  <c r="AE11" i="38"/>
  <c r="AM46" i="45"/>
  <c r="AN21" i="41"/>
  <c r="AM11" i="43"/>
  <c r="AF23" i="36" l="1"/>
  <c r="AF21" i="42"/>
  <c r="AG21" i="36"/>
  <c r="AE20" i="38"/>
  <c r="AE11" i="44"/>
  <c r="AE48" i="39"/>
  <c r="AE48" i="46" s="1"/>
  <c r="AE46" i="46"/>
  <c r="AM20" i="43"/>
  <c r="AM48" i="45"/>
  <c r="AN23" i="41"/>
  <c r="AE43" i="38" l="1"/>
  <c r="AE43" i="44" s="1"/>
  <c r="AE20" i="44"/>
  <c r="AG23" i="36"/>
  <c r="AG21" i="42"/>
  <c r="AF23" i="42"/>
  <c r="AF24" i="36"/>
  <c r="AF25" i="36" s="1"/>
  <c r="AN24" i="41"/>
  <c r="AN25" i="41"/>
  <c r="AM43" i="43"/>
  <c r="AF25" i="42" l="1"/>
  <c r="AF27" i="36"/>
  <c r="AF6" i="39"/>
  <c r="AG24" i="36"/>
  <c r="AF24" i="42"/>
  <c r="AG23" i="42"/>
  <c r="AG25" i="36"/>
  <c r="AN27" i="41"/>
  <c r="AN6" i="45"/>
  <c r="AN29" i="41"/>
  <c r="AG27" i="36" l="1"/>
  <c r="AG25" i="42"/>
  <c r="AG24" i="42"/>
  <c r="AG143" i="36"/>
  <c r="AG143" i="42" s="1"/>
  <c r="AG6" i="39"/>
  <c r="AF6" i="46"/>
  <c r="AF22" i="39"/>
  <c r="AF38" i="38"/>
  <c r="AG31" i="36"/>
  <c r="AF27" i="42"/>
  <c r="AF33" i="36"/>
  <c r="AF32" i="36"/>
  <c r="AF32" i="42" s="1"/>
  <c r="AN34" i="41"/>
  <c r="AN32" i="41"/>
  <c r="AN33" i="41"/>
  <c r="AN22" i="45"/>
  <c r="AN38" i="43"/>
  <c r="AF146" i="36" l="1"/>
  <c r="AF146" i="42" s="1"/>
  <c r="AF33" i="42"/>
  <c r="AF22" i="46"/>
  <c r="AF55" i="39"/>
  <c r="AG33" i="36"/>
  <c r="AG31" i="42"/>
  <c r="AG22" i="39"/>
  <c r="AG6" i="46"/>
  <c r="AF38" i="44"/>
  <c r="AG38" i="38"/>
  <c r="AF41" i="38"/>
  <c r="AG27" i="42"/>
  <c r="AG30" i="36"/>
  <c r="AN55" i="45"/>
  <c r="AN146" i="41"/>
  <c r="AN41" i="43"/>
  <c r="AN147" i="41"/>
  <c r="AF41" i="44" l="1"/>
  <c r="AF42" i="38"/>
  <c r="AF62" i="38"/>
  <c r="AF62" i="44" s="1"/>
  <c r="AG41" i="38"/>
  <c r="AG38" i="44"/>
  <c r="AG32" i="36"/>
  <c r="AG32" i="42" s="1"/>
  <c r="AG30" i="42"/>
  <c r="AG55" i="39"/>
  <c r="AG22" i="46"/>
  <c r="AG33" i="42"/>
  <c r="AG146" i="36"/>
  <c r="AG146" i="42" s="1"/>
  <c r="AG36" i="36"/>
  <c r="AG36" i="42" s="1"/>
  <c r="AF148" i="36"/>
  <c r="AF148" i="42" s="1"/>
  <c r="AF55" i="46"/>
  <c r="AN62" i="43"/>
  <c r="AN42" i="43"/>
  <c r="AN148" i="41"/>
  <c r="AG148" i="36" l="1"/>
  <c r="AG148" i="42" s="1"/>
  <c r="AG55" i="46"/>
  <c r="AG42" i="38"/>
  <c r="AG42" i="44" s="1"/>
  <c r="AG41" i="44"/>
  <c r="AF42" i="44"/>
  <c r="AF12" i="38"/>
  <c r="AF7" i="38"/>
  <c r="AF17" i="38"/>
  <c r="AN7" i="43"/>
  <c r="AN12" i="43"/>
  <c r="AN17" i="43"/>
  <c r="AF17" i="44" l="1"/>
  <c r="AF26" i="39"/>
  <c r="AG17" i="38"/>
  <c r="AG17" i="44" s="1"/>
  <c r="AF7" i="44"/>
  <c r="AF24" i="39"/>
  <c r="AG7" i="38"/>
  <c r="AG7" i="44" s="1"/>
  <c r="AG12" i="38"/>
  <c r="AG12" i="44" s="1"/>
  <c r="AF12" i="44"/>
  <c r="AN24" i="45"/>
  <c r="AN26" i="45"/>
  <c r="AF24" i="46" l="1"/>
  <c r="AF27" i="39"/>
  <c r="AG24" i="39"/>
  <c r="AG26" i="39"/>
  <c r="AG26" i="46" s="1"/>
  <c r="AF26" i="46"/>
  <c r="AN27" i="45"/>
  <c r="AF39" i="39" l="1"/>
  <c r="AF27" i="46"/>
  <c r="AG27" i="39"/>
  <c r="AG24" i="46"/>
  <c r="AN39" i="45"/>
  <c r="AG39" i="39" l="1"/>
  <c r="AG27" i="46"/>
  <c r="AF41" i="39"/>
  <c r="AF39" i="46"/>
  <c r="AN41" i="45"/>
  <c r="AF6" i="38" l="1"/>
  <c r="AF41" i="46"/>
  <c r="AG41" i="39"/>
  <c r="AG39" i="46"/>
  <c r="AN6" i="43"/>
  <c r="AO40" i="45"/>
  <c r="AG41" i="46" l="1"/>
  <c r="AL40" i="39"/>
  <c r="AL40" i="46" s="1"/>
  <c r="AH40" i="39"/>
  <c r="AH40" i="46" s="1"/>
  <c r="AF6" i="44"/>
  <c r="AF11" i="38"/>
  <c r="AH21" i="36"/>
  <c r="AG6" i="38"/>
  <c r="AF46" i="39"/>
  <c r="AN46" i="45"/>
  <c r="AO21" i="41"/>
  <c r="AN11" i="43"/>
  <c r="AH23" i="36" l="1"/>
  <c r="AH21" i="42"/>
  <c r="AF48" i="39"/>
  <c r="AF48" i="46" s="1"/>
  <c r="AF46" i="46"/>
  <c r="AF20" i="38"/>
  <c r="AF11" i="44"/>
  <c r="AG6" i="44"/>
  <c r="AG11" i="38"/>
  <c r="AG46" i="39"/>
  <c r="AN20" i="43"/>
  <c r="AO23" i="41"/>
  <c r="AN48" i="45"/>
  <c r="U28" i="36"/>
  <c r="U29" i="36" s="1"/>
  <c r="U34" i="36" s="1"/>
  <c r="U173" i="36"/>
  <c r="V173" i="36" s="1"/>
  <c r="AG20" i="38" l="1"/>
  <c r="AG11" i="44"/>
  <c r="AG48" i="39"/>
  <c r="AG48" i="46" s="1"/>
  <c r="AG46" i="46"/>
  <c r="AF43" i="38"/>
  <c r="AF43" i="44" s="1"/>
  <c r="AF20" i="44"/>
  <c r="AH24" i="36"/>
  <c r="AH23" i="42"/>
  <c r="AO24" i="41"/>
  <c r="AN43" i="43"/>
  <c r="V172" i="36"/>
  <c r="V28" i="36" s="1"/>
  <c r="V29" i="36" s="1"/>
  <c r="V34" i="36" s="1"/>
  <c r="X173" i="36"/>
  <c r="U147" i="36"/>
  <c r="AH25" i="36" l="1"/>
  <c r="AH24" i="42"/>
  <c r="AG43" i="38"/>
  <c r="AG43" i="44" s="1"/>
  <c r="AG20" i="44"/>
  <c r="AO29" i="41"/>
  <c r="AO25" i="41"/>
  <c r="V147" i="36"/>
  <c r="W28" i="36"/>
  <c r="W29" i="36" s="1"/>
  <c r="W34" i="36" s="1"/>
  <c r="W147" i="36" s="1"/>
  <c r="X172" i="36"/>
  <c r="X28" i="36" s="1"/>
  <c r="X29" i="36" s="1"/>
  <c r="X34" i="36" s="1"/>
  <c r="Y173" i="36"/>
  <c r="AH25" i="42" l="1"/>
  <c r="AH6" i="39"/>
  <c r="AH27" i="36"/>
  <c r="AO6" i="45"/>
  <c r="AO27" i="41"/>
  <c r="AO34" i="41"/>
  <c r="Z173" i="36"/>
  <c r="Y172" i="36"/>
  <c r="Y28" i="36" s="1"/>
  <c r="Y29" i="36" s="1"/>
  <c r="Y34" i="36" s="1"/>
  <c r="Y147" i="36" s="1"/>
  <c r="X147" i="36"/>
  <c r="AH6" i="46" l="1"/>
  <c r="AH22" i="39"/>
  <c r="AH38" i="38"/>
  <c r="AH33" i="36"/>
  <c r="AH27" i="42"/>
  <c r="AH32" i="36"/>
  <c r="AH32" i="42" s="1"/>
  <c r="AO32" i="41"/>
  <c r="AO33" i="41"/>
  <c r="AO147" i="41"/>
  <c r="AO22" i="45"/>
  <c r="AO38" i="43"/>
  <c r="AA173" i="36"/>
  <c r="Z172" i="36"/>
  <c r="Z28" i="36" s="1"/>
  <c r="AH41" i="38" l="1"/>
  <c r="AH38" i="44"/>
  <c r="AH55" i="39"/>
  <c r="AH22" i="46"/>
  <c r="AH146" i="36"/>
  <c r="AH146" i="42" s="1"/>
  <c r="AH33" i="42"/>
  <c r="AO55" i="45"/>
  <c r="AO41" i="43"/>
  <c r="AO146" i="41"/>
  <c r="Z29" i="36"/>
  <c r="Z34" i="36" s="1"/>
  <c r="AA172" i="36"/>
  <c r="AA28" i="36" s="1"/>
  <c r="AA29" i="36" s="1"/>
  <c r="AA34" i="36" s="1"/>
  <c r="AC173" i="36"/>
  <c r="AH41" i="44" l="1"/>
  <c r="AH42" i="38"/>
  <c r="AH62" i="38"/>
  <c r="AH62" i="44" s="1"/>
  <c r="AH148" i="36"/>
  <c r="AH148" i="42" s="1"/>
  <c r="AH55" i="46"/>
  <c r="AO42" i="43"/>
  <c r="AO62" i="43"/>
  <c r="AO148" i="41"/>
  <c r="AA147" i="36"/>
  <c r="Z147" i="36"/>
  <c r="AD173" i="36"/>
  <c r="AC172" i="36"/>
  <c r="AC28" i="36" s="1"/>
  <c r="AC29" i="36" s="1"/>
  <c r="AB28" i="36"/>
  <c r="AB29" i="36" s="1"/>
  <c r="AB34" i="36" s="1"/>
  <c r="AH42" i="44" l="1"/>
  <c r="AH12" i="38"/>
  <c r="AH12" i="44" s="1"/>
  <c r="AH7" i="38"/>
  <c r="AH17" i="38"/>
  <c r="AC34" i="36"/>
  <c r="AC29" i="42"/>
  <c r="AO12" i="43"/>
  <c r="AO7" i="43"/>
  <c r="AO17" i="43"/>
  <c r="AB147" i="36"/>
  <c r="C9" i="40"/>
  <c r="AE173" i="36"/>
  <c r="AD172" i="36"/>
  <c r="AD28" i="36" s="1"/>
  <c r="AD29" i="36" s="1"/>
  <c r="AC147" i="36" l="1"/>
  <c r="AC147" i="42" s="1"/>
  <c r="AC34" i="42"/>
  <c r="AH26" i="39"/>
  <c r="AH26" i="46" s="1"/>
  <c r="AH17" i="44"/>
  <c r="AH7" i="44"/>
  <c r="AH24" i="39"/>
  <c r="AD34" i="36"/>
  <c r="AD29" i="42"/>
  <c r="AO24" i="45"/>
  <c r="AO26" i="45"/>
  <c r="AF173" i="36"/>
  <c r="AE172" i="36"/>
  <c r="AE28" i="36" s="1"/>
  <c r="AH27" i="39" l="1"/>
  <c r="AH24" i="46"/>
  <c r="AD147" i="36"/>
  <c r="AD147" i="42" s="1"/>
  <c r="AD34" i="42"/>
  <c r="AO27" i="45"/>
  <c r="AE29" i="36"/>
  <c r="AF172" i="36"/>
  <c r="AF28" i="36" s="1"/>
  <c r="AF29" i="36" s="1"/>
  <c r="AH173" i="36"/>
  <c r="AF34" i="36" l="1"/>
  <c r="AF29" i="42"/>
  <c r="AE34" i="36"/>
  <c r="AE29" i="42"/>
  <c r="AH39" i="39"/>
  <c r="AH27" i="46"/>
  <c r="AO39" i="45"/>
  <c r="AG28" i="36"/>
  <c r="AG29" i="36" s="1"/>
  <c r="AI173" i="36"/>
  <c r="AH172" i="36"/>
  <c r="AH28" i="36" s="1"/>
  <c r="AH29" i="36" s="1"/>
  <c r="AH34" i="36" l="1"/>
  <c r="AH29" i="42"/>
  <c r="AG34" i="36"/>
  <c r="AG34" i="42" s="1"/>
  <c r="AG29" i="42"/>
  <c r="AH41" i="39"/>
  <c r="AH39" i="46"/>
  <c r="AE147" i="36"/>
  <c r="AE147" i="42" s="1"/>
  <c r="AE34" i="42"/>
  <c r="AF147" i="36"/>
  <c r="AF147" i="42" s="1"/>
  <c r="AF34" i="42"/>
  <c r="AO41" i="45"/>
  <c r="AG147" i="36"/>
  <c r="AG147" i="42" s="1"/>
  <c r="AI172" i="36"/>
  <c r="AI28" i="36" s="1"/>
  <c r="AJ173" i="36"/>
  <c r="AH41" i="46" l="1"/>
  <c r="AH6" i="38"/>
  <c r="AI40" i="39"/>
  <c r="AI40" i="46" s="1"/>
  <c r="AH147" i="36"/>
  <c r="AH147" i="42" s="1"/>
  <c r="AH34" i="42"/>
  <c r="AO6" i="43"/>
  <c r="AP40" i="45"/>
  <c r="AJ172" i="36"/>
  <c r="AJ28" i="36" s="1"/>
  <c r="AK173" i="36"/>
  <c r="AH6" i="44" l="1"/>
  <c r="AI21" i="36"/>
  <c r="AH11" i="38"/>
  <c r="AH46" i="39"/>
  <c r="AO46" i="45"/>
  <c r="AP21" i="41"/>
  <c r="AO11" i="43"/>
  <c r="AM173" i="36"/>
  <c r="AK172" i="36"/>
  <c r="AK28" i="36" s="1"/>
  <c r="AI23" i="36" l="1"/>
  <c r="AI21" i="42"/>
  <c r="AH48" i="39"/>
  <c r="AH48" i="46" s="1"/>
  <c r="AH46" i="46"/>
  <c r="AH20" i="38"/>
  <c r="AH11" i="44"/>
  <c r="AO20" i="43"/>
  <c r="AP23" i="41"/>
  <c r="AQ21" i="41"/>
  <c r="AO48" i="45"/>
  <c r="AL28" i="36"/>
  <c r="AN173" i="36"/>
  <c r="AM172" i="36"/>
  <c r="AM28" i="36" s="1"/>
  <c r="AH43" i="38" l="1"/>
  <c r="AH43" i="44" s="1"/>
  <c r="AH20" i="44"/>
  <c r="AI24" i="36"/>
  <c r="AI23" i="42"/>
  <c r="AQ23" i="41"/>
  <c r="AP24" i="41"/>
  <c r="AP25" i="41" s="1"/>
  <c r="AO43" i="43"/>
  <c r="AN172" i="36"/>
  <c r="AN28" i="36" s="1"/>
  <c r="AO173" i="36"/>
  <c r="AI25" i="36" l="1"/>
  <c r="AI24" i="42"/>
  <c r="AI29" i="36"/>
  <c r="AP6" i="45"/>
  <c r="AP27" i="41"/>
  <c r="AQ24" i="41"/>
  <c r="AP29" i="41"/>
  <c r="AP173" i="36"/>
  <c r="AO172" i="36"/>
  <c r="AO28" i="36" s="1"/>
  <c r="AI34" i="36" l="1"/>
  <c r="AI29" i="42"/>
  <c r="AI25" i="42"/>
  <c r="AI6" i="39"/>
  <c r="AI27" i="36"/>
  <c r="AQ143" i="41"/>
  <c r="AQ29" i="41"/>
  <c r="AP32" i="41"/>
  <c r="AP33" i="41"/>
  <c r="AP34" i="41"/>
  <c r="AQ25" i="41"/>
  <c r="AP22" i="45"/>
  <c r="AQ6" i="45"/>
  <c r="AP38" i="43"/>
  <c r="AR173" i="36"/>
  <c r="AP172" i="36"/>
  <c r="AP28" i="36" s="1"/>
  <c r="AI27" i="42" l="1"/>
  <c r="AI32" i="36"/>
  <c r="AI32" i="42" s="1"/>
  <c r="AI33" i="36"/>
  <c r="AI6" i="46"/>
  <c r="AI22" i="39"/>
  <c r="AI38" i="38"/>
  <c r="AI147" i="36"/>
  <c r="AI147" i="42" s="1"/>
  <c r="AI34" i="42"/>
  <c r="AQ38" i="43"/>
  <c r="AP41" i="43"/>
  <c r="AP55" i="45"/>
  <c r="AQ27" i="41"/>
  <c r="AP146" i="41"/>
  <c r="AQ22" i="45"/>
  <c r="AP147" i="41"/>
  <c r="AR172" i="36"/>
  <c r="AR28" i="36" s="1"/>
  <c r="AS173" i="36"/>
  <c r="AQ28" i="36"/>
  <c r="AI41" i="38" l="1"/>
  <c r="AI38" i="44"/>
  <c r="AI55" i="39"/>
  <c r="AI22" i="46"/>
  <c r="AI146" i="36"/>
  <c r="AI146" i="42" s="1"/>
  <c r="AI33" i="42"/>
  <c r="AQ31" i="41"/>
  <c r="AQ30" i="41"/>
  <c r="AQ55" i="45"/>
  <c r="AP148" i="41"/>
  <c r="AP42" i="43"/>
  <c r="AP62" i="43"/>
  <c r="AQ41" i="43"/>
  <c r="AT173" i="36"/>
  <c r="AS172" i="36"/>
  <c r="AS28" i="36" s="1"/>
  <c r="AI148" i="36" l="1"/>
  <c r="AI148" i="42" s="1"/>
  <c r="AI55" i="46"/>
  <c r="AI41" i="44"/>
  <c r="AI62" i="38"/>
  <c r="AI62" i="44" s="1"/>
  <c r="AI42" i="38"/>
  <c r="AQ42" i="43"/>
  <c r="AP12" i="43"/>
  <c r="AP7" i="43"/>
  <c r="AP17" i="43"/>
  <c r="AQ32" i="41"/>
  <c r="AQ148" i="41"/>
  <c r="AQ34" i="41"/>
  <c r="AQ33" i="41"/>
  <c r="AT172" i="36"/>
  <c r="AT28" i="36" s="1"/>
  <c r="AU173" i="36"/>
  <c r="AU172" i="36" s="1"/>
  <c r="AU28" i="36" s="1"/>
  <c r="AI42" i="44" l="1"/>
  <c r="AI12" i="38"/>
  <c r="AI12" i="44" s="1"/>
  <c r="AI7" i="38"/>
  <c r="AI17" i="38"/>
  <c r="AQ147" i="41"/>
  <c r="AP26" i="45"/>
  <c r="AQ17" i="43"/>
  <c r="AQ146" i="41"/>
  <c r="AQ36" i="41"/>
  <c r="AP24" i="45"/>
  <c r="AQ7" i="43"/>
  <c r="AQ12" i="43"/>
  <c r="AV28" i="36"/>
  <c r="AI26" i="39" l="1"/>
  <c r="AI26" i="46" s="1"/>
  <c r="AI17" i="44"/>
  <c r="AI7" i="44"/>
  <c r="AI24" i="39"/>
  <c r="AP27" i="45"/>
  <c r="AQ24" i="45"/>
  <c r="AQ26" i="45"/>
  <c r="AI27" i="39" l="1"/>
  <c r="AI24" i="46"/>
  <c r="AQ27" i="45"/>
  <c r="AP39" i="45"/>
  <c r="AI39" i="39" l="1"/>
  <c r="AI27" i="46"/>
  <c r="AP41" i="45"/>
  <c r="AQ39" i="45"/>
  <c r="AI41" i="39" l="1"/>
  <c r="AI39" i="46"/>
  <c r="AQ41" i="45"/>
  <c r="AP6" i="43"/>
  <c r="AI41" i="46" l="1"/>
  <c r="AI6" i="38"/>
  <c r="AJ40" i="39"/>
  <c r="AJ40" i="46" s="1"/>
  <c r="AP46" i="45"/>
  <c r="AQ6" i="43"/>
  <c r="AR21" i="41"/>
  <c r="AP11" i="43"/>
  <c r="AV40" i="45"/>
  <c r="AR40" i="45"/>
  <c r="AJ21" i="36" l="1"/>
  <c r="AI6" i="44"/>
  <c r="AI46" i="39"/>
  <c r="AI11" i="38"/>
  <c r="AP20" i="43"/>
  <c r="AQ46" i="45"/>
  <c r="AQ11" i="43"/>
  <c r="AR23" i="41"/>
  <c r="AP48" i="45"/>
  <c r="AJ23" i="36" l="1"/>
  <c r="AJ21" i="42"/>
  <c r="AI20" i="38"/>
  <c r="AI11" i="44"/>
  <c r="AI48" i="39"/>
  <c r="AI48" i="46" s="1"/>
  <c r="AI46" i="46"/>
  <c r="AR24" i="41"/>
  <c r="AQ20" i="43"/>
  <c r="AQ48" i="45"/>
  <c r="AP43" i="43"/>
  <c r="AI43" i="38" l="1"/>
  <c r="AI43" i="44" s="1"/>
  <c r="AI20" i="44"/>
  <c r="AJ24" i="36"/>
  <c r="AJ23" i="42"/>
  <c r="AR29" i="41"/>
  <c r="AQ43" i="43"/>
  <c r="AR25" i="41"/>
  <c r="AJ25" i="36" l="1"/>
  <c r="AJ24" i="42"/>
  <c r="AJ29" i="36"/>
  <c r="AR6" i="45"/>
  <c r="AR27" i="41"/>
  <c r="AR34" i="41"/>
  <c r="AJ34" i="36" l="1"/>
  <c r="AJ29" i="42"/>
  <c r="AJ25" i="42"/>
  <c r="AJ27" i="36"/>
  <c r="AJ6" i="39"/>
  <c r="AR147" i="41"/>
  <c r="AR32" i="41"/>
  <c r="AR33" i="41"/>
  <c r="AR22" i="45"/>
  <c r="AR38" i="43"/>
  <c r="AJ6" i="46" l="1"/>
  <c r="AJ22" i="39"/>
  <c r="AJ38" i="38"/>
  <c r="AJ27" i="42"/>
  <c r="AJ33" i="36"/>
  <c r="AJ32" i="36"/>
  <c r="AJ32" i="42" s="1"/>
  <c r="AJ147" i="36"/>
  <c r="AJ147" i="42" s="1"/>
  <c r="AJ34" i="42"/>
  <c r="AR41" i="43"/>
  <c r="AR55" i="45"/>
  <c r="AR146" i="41"/>
  <c r="AJ146" i="36" l="1"/>
  <c r="AJ146" i="42" s="1"/>
  <c r="AJ33" i="42"/>
  <c r="AJ55" i="39"/>
  <c r="AJ22" i="46"/>
  <c r="AJ41" i="38"/>
  <c r="AJ38" i="44"/>
  <c r="AR148" i="41"/>
  <c r="AR42" i="43"/>
  <c r="AR62" i="43"/>
  <c r="AJ42" i="38" l="1"/>
  <c r="AJ41" i="44"/>
  <c r="AJ62" i="38"/>
  <c r="AJ62" i="44" s="1"/>
  <c r="AJ148" i="36"/>
  <c r="AJ148" i="42" s="1"/>
  <c r="AJ55" i="46"/>
  <c r="AR12" i="43"/>
  <c r="AR7" i="43"/>
  <c r="AR17" i="43"/>
  <c r="AJ42" i="44" l="1"/>
  <c r="AJ7" i="38"/>
  <c r="AJ12" i="38"/>
  <c r="AJ12" i="44" s="1"/>
  <c r="AJ17" i="38"/>
  <c r="AR24" i="45"/>
  <c r="AR26" i="45"/>
  <c r="AJ17" i="44" l="1"/>
  <c r="AJ26" i="39"/>
  <c r="AJ26" i="46" s="1"/>
  <c r="AJ7" i="44"/>
  <c r="AJ24" i="39"/>
  <c r="AR27" i="45"/>
  <c r="AJ24" i="46" l="1"/>
  <c r="AJ27" i="39"/>
  <c r="AR39" i="45"/>
  <c r="AJ39" i="39" l="1"/>
  <c r="AJ27" i="46"/>
  <c r="AR41" i="45"/>
  <c r="AJ41" i="39" l="1"/>
  <c r="AJ39" i="46"/>
  <c r="AR6" i="43"/>
  <c r="AS40" i="45"/>
  <c r="AJ6" i="38" l="1"/>
  <c r="AJ41" i="46"/>
  <c r="AK40" i="39"/>
  <c r="AK40" i="46" s="1"/>
  <c r="AR46" i="45"/>
  <c r="AS21" i="41"/>
  <c r="AR11" i="43"/>
  <c r="AJ6" i="44" l="1"/>
  <c r="AJ46" i="39"/>
  <c r="AJ11" i="38"/>
  <c r="AK21" i="36"/>
  <c r="AR20" i="43"/>
  <c r="AS23" i="41"/>
  <c r="AR48" i="45"/>
  <c r="AJ48" i="39" l="1"/>
  <c r="AJ48" i="46" s="1"/>
  <c r="AJ46" i="46"/>
  <c r="AK21" i="42"/>
  <c r="AK23" i="36"/>
  <c r="AL21" i="36"/>
  <c r="AJ20" i="38"/>
  <c r="AJ11" i="44"/>
  <c r="AR43" i="43"/>
  <c r="AS24" i="41"/>
  <c r="AS25" i="41" s="1"/>
  <c r="AJ43" i="38" l="1"/>
  <c r="AJ43" i="44" s="1"/>
  <c r="AJ20" i="44"/>
  <c r="AK23" i="42"/>
  <c r="AK24" i="36"/>
  <c r="AK25" i="36" s="1"/>
  <c r="AL23" i="36"/>
  <c r="AL21" i="42"/>
  <c r="AS6" i="45"/>
  <c r="AS27" i="41"/>
  <c r="AS29" i="41"/>
  <c r="AK27" i="36" l="1"/>
  <c r="AK25" i="42"/>
  <c r="AK6" i="39"/>
  <c r="AL23" i="42"/>
  <c r="AL24" i="36"/>
  <c r="AL25" i="36" s="1"/>
  <c r="AK24" i="42"/>
  <c r="AK29" i="36"/>
  <c r="AS34" i="41"/>
  <c r="AS32" i="41"/>
  <c r="AS33" i="41"/>
  <c r="AS22" i="45"/>
  <c r="AS38" i="43"/>
  <c r="AL27" i="36" l="1"/>
  <c r="AL25" i="42"/>
  <c r="AK34" i="36"/>
  <c r="AK29" i="42"/>
  <c r="AL143" i="36"/>
  <c r="AL143" i="42" s="1"/>
  <c r="AL24" i="42"/>
  <c r="AL29" i="36"/>
  <c r="AL6" i="39"/>
  <c r="AK6" i="46"/>
  <c r="AK22" i="39"/>
  <c r="AK38" i="38"/>
  <c r="AK27" i="42"/>
  <c r="AK33" i="36"/>
  <c r="AK32" i="36"/>
  <c r="AK32" i="42" s="1"/>
  <c r="AS147" i="41"/>
  <c r="AS41" i="43"/>
  <c r="AS55" i="45"/>
  <c r="AS146" i="41"/>
  <c r="AK146" i="36" l="1"/>
  <c r="AK146" i="42" s="1"/>
  <c r="AK33" i="42"/>
  <c r="AL29" i="42"/>
  <c r="AL22" i="39"/>
  <c r="AL6" i="46"/>
  <c r="AK55" i="39"/>
  <c r="AK22" i="46"/>
  <c r="AK147" i="36"/>
  <c r="AK147" i="42" s="1"/>
  <c r="AK34" i="42"/>
  <c r="AL38" i="38"/>
  <c r="AK38" i="44"/>
  <c r="AK41" i="38"/>
  <c r="AL27" i="42"/>
  <c r="AL30" i="36"/>
  <c r="AL31" i="36"/>
  <c r="AL34" i="36" s="1"/>
  <c r="AS148" i="41"/>
  <c r="AS42" i="43"/>
  <c r="AS62" i="43"/>
  <c r="AL149" i="36" l="1"/>
  <c r="AL149" i="42" s="1"/>
  <c r="AL59" i="39"/>
  <c r="AL34" i="42"/>
  <c r="AL147" i="36"/>
  <c r="AL147" i="42" s="1"/>
  <c r="AK42" i="38"/>
  <c r="AK41" i="44"/>
  <c r="AK62" i="38"/>
  <c r="AK62" i="44" s="1"/>
  <c r="AK148" i="36"/>
  <c r="AK148" i="42" s="1"/>
  <c r="AK55" i="46"/>
  <c r="AL55" i="39"/>
  <c r="AL22" i="46"/>
  <c r="AL32" i="36"/>
  <c r="AL32" i="42" s="1"/>
  <c r="AL30" i="42"/>
  <c r="AL41" i="38"/>
  <c r="AL38" i="44"/>
  <c r="AL33" i="36"/>
  <c r="AL31" i="42"/>
  <c r="AS12" i="43"/>
  <c r="AS7" i="43"/>
  <c r="AS17" i="43"/>
  <c r="AL42" i="38" l="1"/>
  <c r="AL42" i="44" s="1"/>
  <c r="AL41" i="44"/>
  <c r="AK42" i="44"/>
  <c r="AK12" i="38"/>
  <c r="AK7" i="38"/>
  <c r="AK17" i="38"/>
  <c r="AL148" i="36"/>
  <c r="AL148" i="42" s="1"/>
  <c r="AL55" i="46"/>
  <c r="AL33" i="42"/>
  <c r="AL146" i="36"/>
  <c r="AL146" i="42" s="1"/>
  <c r="AL36" i="36"/>
  <c r="AL36" i="42" s="1"/>
  <c r="AL59" i="46"/>
  <c r="AL61" i="39"/>
  <c r="AL61" i="46" s="1"/>
  <c r="AS26" i="45"/>
  <c r="AS24" i="45"/>
  <c r="AL12" i="38" l="1"/>
  <c r="AL12" i="44" s="1"/>
  <c r="AK12" i="44"/>
  <c r="AK17" i="44"/>
  <c r="AL17" i="38"/>
  <c r="AL17" i="44" s="1"/>
  <c r="AK26" i="39"/>
  <c r="AK7" i="44"/>
  <c r="AK24" i="39"/>
  <c r="AL7" i="38"/>
  <c r="AL7" i="44" s="1"/>
  <c r="AS27" i="45"/>
  <c r="AK24" i="46" l="1"/>
  <c r="AK27" i="39"/>
  <c r="AL24" i="39"/>
  <c r="AL26" i="39"/>
  <c r="AL26" i="46" s="1"/>
  <c r="AK26" i="46"/>
  <c r="AS39" i="45"/>
  <c r="AK39" i="39" l="1"/>
  <c r="AK27" i="46"/>
  <c r="AL27" i="39"/>
  <c r="AL24" i="46"/>
  <c r="AS41" i="45"/>
  <c r="AL39" i="39" l="1"/>
  <c r="AL27" i="46"/>
  <c r="AK41" i="39"/>
  <c r="AK39" i="46"/>
  <c r="AS6" i="43"/>
  <c r="AT40" i="45"/>
  <c r="AK6" i="38" l="1"/>
  <c r="AK41" i="46"/>
  <c r="AL41" i="39"/>
  <c r="AL39" i="46"/>
  <c r="AS46" i="45"/>
  <c r="AT21" i="41"/>
  <c r="AS11" i="43"/>
  <c r="AL41" i="46" l="1"/>
  <c r="AQ40" i="39"/>
  <c r="AQ40" i="46" s="1"/>
  <c r="AM40" i="39"/>
  <c r="AM40" i="46" s="1"/>
  <c r="AK6" i="44"/>
  <c r="AK11" i="38"/>
  <c r="AL6" i="38"/>
  <c r="AM21" i="36"/>
  <c r="AK46" i="39"/>
  <c r="AT23" i="41"/>
  <c r="AS48" i="45"/>
  <c r="AS20" i="43"/>
  <c r="AL6" i="44" l="1"/>
  <c r="AL11" i="38"/>
  <c r="AL46" i="39"/>
  <c r="AK48" i="39"/>
  <c r="AK48" i="46" s="1"/>
  <c r="AK46" i="46"/>
  <c r="AK20" i="38"/>
  <c r="AK11" i="44"/>
  <c r="AM21" i="42"/>
  <c r="AM23" i="36"/>
  <c r="AS43" i="43"/>
  <c r="AT24" i="41"/>
  <c r="AM24" i="36" l="1"/>
  <c r="AM23" i="42"/>
  <c r="AK43" i="38"/>
  <c r="AK43" i="44" s="1"/>
  <c r="AK20" i="44"/>
  <c r="AL48" i="39"/>
  <c r="AL48" i="46" s="1"/>
  <c r="AL46" i="46"/>
  <c r="AL20" i="38"/>
  <c r="AL11" i="44"/>
  <c r="AT29" i="41"/>
  <c r="AT25" i="41"/>
  <c r="AL43" i="38" l="1"/>
  <c r="AL43" i="44" s="1"/>
  <c r="AL20" i="44"/>
  <c r="AM25" i="36"/>
  <c r="AM24" i="42"/>
  <c r="AM29" i="36"/>
  <c r="AT34" i="41"/>
  <c r="AT6" i="45"/>
  <c r="AT27" i="41"/>
  <c r="AM25" i="42" l="1"/>
  <c r="AM27" i="36"/>
  <c r="AM6" i="39"/>
  <c r="AM34" i="36"/>
  <c r="AM29" i="42"/>
  <c r="AT22" i="45"/>
  <c r="AT38" i="43"/>
  <c r="AT32" i="41"/>
  <c r="AT33" i="41"/>
  <c r="AT147" i="41"/>
  <c r="AM32" i="36" l="1"/>
  <c r="AM32" i="42" s="1"/>
  <c r="AM27" i="42"/>
  <c r="AM33" i="36"/>
  <c r="AM147" i="36"/>
  <c r="AM147" i="42" s="1"/>
  <c r="AM34" i="42"/>
  <c r="AM6" i="46"/>
  <c r="AM22" i="39"/>
  <c r="AM38" i="38"/>
  <c r="AT55" i="45"/>
  <c r="AT146" i="41"/>
  <c r="AT41" i="43"/>
  <c r="AM55" i="39" l="1"/>
  <c r="AM22" i="46"/>
  <c r="AM41" i="38"/>
  <c r="AM38" i="44"/>
  <c r="AM146" i="36"/>
  <c r="AM146" i="42" s="1"/>
  <c r="AM33" i="42"/>
  <c r="AT62" i="43"/>
  <c r="AT42" i="43"/>
  <c r="AT148" i="41"/>
  <c r="AM41" i="44" l="1"/>
  <c r="AM42" i="38"/>
  <c r="AM62" i="38"/>
  <c r="AM62" i="44" s="1"/>
  <c r="AM148" i="36"/>
  <c r="AM148" i="42" s="1"/>
  <c r="AM55" i="46"/>
  <c r="AT7" i="43"/>
  <c r="AT12" i="43"/>
  <c r="AT17" i="43"/>
  <c r="AM42" i="44" l="1"/>
  <c r="AM7" i="38"/>
  <c r="AM12" i="38"/>
  <c r="AM12" i="44" s="1"/>
  <c r="AM17" i="38"/>
  <c r="AT26" i="45"/>
  <c r="AT24" i="45"/>
  <c r="AM26" i="39" l="1"/>
  <c r="AM26" i="46" s="1"/>
  <c r="AM17" i="44"/>
  <c r="AM7" i="44"/>
  <c r="AM24" i="39"/>
  <c r="AT27" i="45"/>
  <c r="AM27" i="39" l="1"/>
  <c r="AM24" i="46"/>
  <c r="AT39" i="45"/>
  <c r="AM39" i="39" l="1"/>
  <c r="AM27" i="46"/>
  <c r="AT41" i="45"/>
  <c r="AM41" i="39" l="1"/>
  <c r="AM39" i="46"/>
  <c r="AT6" i="43"/>
  <c r="AU40" i="45"/>
  <c r="AM41" i="46" l="1"/>
  <c r="AN40" i="39"/>
  <c r="AN40" i="46" s="1"/>
  <c r="AM6" i="38"/>
  <c r="AT46" i="45"/>
  <c r="AU21" i="41"/>
  <c r="AT11" i="43"/>
  <c r="AM6" i="44" l="1"/>
  <c r="AN21" i="36"/>
  <c r="AM46" i="39"/>
  <c r="AM11" i="38"/>
  <c r="AT20" i="43"/>
  <c r="AU23" i="41"/>
  <c r="AV21" i="41"/>
  <c r="AT48" i="45"/>
  <c r="AN23" i="36" l="1"/>
  <c r="AN21" i="42"/>
  <c r="AM20" i="38"/>
  <c r="AM11" i="44"/>
  <c r="AM48" i="39"/>
  <c r="AM48" i="46" s="1"/>
  <c r="AM46" i="46"/>
  <c r="AT43" i="43"/>
  <c r="AV23" i="41"/>
  <c r="AU24" i="41"/>
  <c r="AU25" i="41" s="1"/>
  <c r="AM43" i="38" l="1"/>
  <c r="AM43" i="44" s="1"/>
  <c r="AM20" i="44"/>
  <c r="AN24" i="36"/>
  <c r="AN23" i="42"/>
  <c r="AU27" i="41"/>
  <c r="AU6" i="45"/>
  <c r="AV24" i="41"/>
  <c r="AV25" i="41" s="1"/>
  <c r="AU29" i="41"/>
  <c r="AN25" i="36" l="1"/>
  <c r="AN24" i="42"/>
  <c r="AN29" i="36"/>
  <c r="AU34" i="41"/>
  <c r="AU22" i="45"/>
  <c r="AV6" i="45"/>
  <c r="AU38" i="43"/>
  <c r="AV27" i="41"/>
  <c r="AV143" i="41"/>
  <c r="AV29" i="41"/>
  <c r="AU32" i="41"/>
  <c r="AU33" i="41"/>
  <c r="AN34" i="36" l="1"/>
  <c r="AN29" i="42"/>
  <c r="AN25" i="42"/>
  <c r="AN27" i="36"/>
  <c r="AN6" i="39"/>
  <c r="AV31" i="41"/>
  <c r="AV33" i="41" s="1"/>
  <c r="AV30" i="41"/>
  <c r="AU146" i="41"/>
  <c r="AV34" i="41"/>
  <c r="AV38" i="43"/>
  <c r="AU41" i="43"/>
  <c r="AV22" i="45"/>
  <c r="AU55" i="45"/>
  <c r="AU147" i="41"/>
  <c r="AN27" i="42" l="1"/>
  <c r="AN32" i="36"/>
  <c r="AN32" i="42" s="1"/>
  <c r="AN33" i="36"/>
  <c r="AN6" i="46"/>
  <c r="AN22" i="39"/>
  <c r="AN38" i="38"/>
  <c r="AN147" i="36"/>
  <c r="AN147" i="42" s="1"/>
  <c r="AN34" i="42"/>
  <c r="AV146" i="41"/>
  <c r="AV36" i="41"/>
  <c r="AU62" i="43"/>
  <c r="AU42" i="43"/>
  <c r="AV32" i="41"/>
  <c r="AV55" i="45"/>
  <c r="AV41" i="43"/>
  <c r="AU148" i="41"/>
  <c r="AV147" i="41"/>
  <c r="AN41" i="38" l="1"/>
  <c r="AN38" i="44"/>
  <c r="AN55" i="39"/>
  <c r="AN22" i="46"/>
  <c r="AN146" i="36"/>
  <c r="AN146" i="42" s="1"/>
  <c r="AN33" i="42"/>
  <c r="AV148" i="41"/>
  <c r="AV42" i="43"/>
  <c r="AU7" i="43"/>
  <c r="AU12" i="43"/>
  <c r="AU17" i="43"/>
  <c r="AN148" i="36" l="1"/>
  <c r="AN148" i="42" s="1"/>
  <c r="AN55" i="46"/>
  <c r="AN41" i="44"/>
  <c r="AN42" i="38"/>
  <c r="AN62" i="38"/>
  <c r="AN62" i="44" s="1"/>
  <c r="AV17" i="43"/>
  <c r="AU26" i="45"/>
  <c r="AV12" i="43"/>
  <c r="AU24" i="45"/>
  <c r="AV7" i="43"/>
  <c r="AN42" i="44" l="1"/>
  <c r="AN7" i="38"/>
  <c r="AN12" i="38"/>
  <c r="AN12" i="44" s="1"/>
  <c r="AN17" i="38"/>
  <c r="AU27" i="45"/>
  <c r="AV24" i="45"/>
  <c r="AV26" i="45"/>
  <c r="AN26" i="39" l="1"/>
  <c r="AN26" i="46" s="1"/>
  <c r="AN17" i="44"/>
  <c r="AN7" i="44"/>
  <c r="AN24" i="39"/>
  <c r="AU39" i="45"/>
  <c r="AV27" i="45"/>
  <c r="AN27" i="39" l="1"/>
  <c r="AN24" i="46"/>
  <c r="AV39" i="45"/>
  <c r="AU41" i="45"/>
  <c r="AN39" i="39" l="1"/>
  <c r="AN27" i="46"/>
  <c r="AU6" i="43"/>
  <c r="AV41" i="45"/>
  <c r="AN41" i="39" l="1"/>
  <c r="AN39" i="46"/>
  <c r="AU46" i="45"/>
  <c r="AV6" i="43"/>
  <c r="AU11" i="43"/>
  <c r="AN6" i="38" l="1"/>
  <c r="AN41" i="46"/>
  <c r="AO40" i="39"/>
  <c r="AO40" i="46" s="1"/>
  <c r="AV46" i="45"/>
  <c r="AV11" i="43"/>
  <c r="AU20" i="43"/>
  <c r="AU48" i="45"/>
  <c r="AN6" i="44" l="1"/>
  <c r="AO21" i="36"/>
  <c r="AN11" i="38"/>
  <c r="AN46" i="39"/>
  <c r="AV20" i="43"/>
  <c r="AU43" i="43"/>
  <c r="AV48" i="45"/>
  <c r="AO21" i="42" l="1"/>
  <c r="AO23" i="36"/>
  <c r="AN48" i="39"/>
  <c r="AN48" i="46" s="1"/>
  <c r="AN46" i="46"/>
  <c r="AN20" i="38"/>
  <c r="AN11" i="44"/>
  <c r="AV43" i="43"/>
  <c r="AN43" i="38" l="1"/>
  <c r="AN43" i="44" s="1"/>
  <c r="AN20" i="44"/>
  <c r="AO24" i="36"/>
  <c r="AO23" i="42"/>
  <c r="AO25" i="36" l="1"/>
  <c r="AO24" i="42"/>
  <c r="AO29" i="36"/>
  <c r="AO34" i="36" l="1"/>
  <c r="AO29" i="42"/>
  <c r="AO25" i="42"/>
  <c r="AO6" i="39"/>
  <c r="AO27" i="36"/>
  <c r="AO6" i="46" l="1"/>
  <c r="AO22" i="39"/>
  <c r="AO38" i="38"/>
  <c r="AO27" i="42"/>
  <c r="AO33" i="36"/>
  <c r="AO32" i="36"/>
  <c r="AO32" i="42" s="1"/>
  <c r="AO147" i="36"/>
  <c r="AO147" i="42" s="1"/>
  <c r="AO34" i="42"/>
  <c r="AO146" i="36" l="1"/>
  <c r="AO146" i="42" s="1"/>
  <c r="AO33" i="42"/>
  <c r="AO22" i="46"/>
  <c r="AO55" i="39"/>
  <c r="AO38" i="44"/>
  <c r="AO41" i="38"/>
  <c r="AO41" i="44" l="1"/>
  <c r="AO62" i="38"/>
  <c r="AO62" i="44" s="1"/>
  <c r="AO42" i="38"/>
  <c r="AO148" i="36"/>
  <c r="AO148" i="42" s="1"/>
  <c r="AO55" i="46"/>
  <c r="AO42" i="44" l="1"/>
  <c r="AO12" i="38"/>
  <c r="AO12" i="44" s="1"/>
  <c r="AO7" i="38"/>
  <c r="AO17" i="38"/>
  <c r="AO17" i="44" l="1"/>
  <c r="AO26" i="39"/>
  <c r="AO26" i="46" s="1"/>
  <c r="AO7" i="44"/>
  <c r="AO24" i="39"/>
  <c r="AO24" i="46" l="1"/>
  <c r="AO27" i="39"/>
  <c r="AO39" i="39" l="1"/>
  <c r="AO27" i="46"/>
  <c r="AO41" i="39" l="1"/>
  <c r="AO39" i="46"/>
  <c r="AP40" i="39" l="1"/>
  <c r="AP40" i="46" s="1"/>
  <c r="AO41" i="46"/>
  <c r="AO6" i="38"/>
  <c r="AP21" i="36" l="1"/>
  <c r="AO6" i="44"/>
  <c r="AO11" i="38"/>
  <c r="AO46" i="39"/>
  <c r="AO48" i="39" l="1"/>
  <c r="AO48" i="46" s="1"/>
  <c r="AO46" i="46"/>
  <c r="AO20" i="38"/>
  <c r="AO11" i="44"/>
  <c r="AP21" i="42"/>
  <c r="AP23" i="36"/>
  <c r="AQ21" i="36"/>
  <c r="AQ21" i="42" l="1"/>
  <c r="AQ23" i="36"/>
  <c r="AQ23" i="42" s="1"/>
  <c r="AO43" i="38"/>
  <c r="AO43" i="44" s="1"/>
  <c r="AO20" i="44"/>
  <c r="AP23" i="42"/>
  <c r="AP24" i="36"/>
  <c r="AP25" i="36" l="1"/>
  <c r="AP24" i="42"/>
  <c r="AQ24" i="36"/>
  <c r="AP29" i="36"/>
  <c r="AQ25" i="36" l="1"/>
  <c r="AQ24" i="42"/>
  <c r="AQ143" i="36"/>
  <c r="AQ143" i="42" s="1"/>
  <c r="AQ29" i="36"/>
  <c r="AP34" i="36"/>
  <c r="AP29" i="42"/>
  <c r="AP25" i="42"/>
  <c r="AP27" i="36"/>
  <c r="AP6" i="39"/>
  <c r="AP27" i="42" l="1"/>
  <c r="AP32" i="36"/>
  <c r="AP32" i="42" s="1"/>
  <c r="AP33" i="36"/>
  <c r="AQ6" i="39"/>
  <c r="AP6" i="46"/>
  <c r="AP22" i="39"/>
  <c r="AP38" i="38"/>
  <c r="AQ29" i="42"/>
  <c r="AP147" i="36"/>
  <c r="AP147" i="42" s="1"/>
  <c r="AP34" i="42"/>
  <c r="AQ27" i="36"/>
  <c r="AQ25" i="42"/>
  <c r="AQ27" i="42" l="1"/>
  <c r="AQ31" i="36"/>
  <c r="AQ30" i="36"/>
  <c r="AP22" i="46"/>
  <c r="AP55" i="39"/>
  <c r="AP38" i="44"/>
  <c r="AQ38" i="38"/>
  <c r="AP41" i="38"/>
  <c r="AQ22" i="39"/>
  <c r="AQ6" i="46"/>
  <c r="AP146" i="36"/>
  <c r="AP146" i="42" s="1"/>
  <c r="AP33" i="42"/>
  <c r="AQ55" i="39" l="1"/>
  <c r="AQ22" i="46"/>
  <c r="AP148" i="36"/>
  <c r="AP148" i="42" s="1"/>
  <c r="AP55" i="46"/>
  <c r="AQ33" i="36"/>
  <c r="AQ31" i="42"/>
  <c r="AQ34" i="36"/>
  <c r="AP41" i="44"/>
  <c r="AP62" i="38"/>
  <c r="AP62" i="44" s="1"/>
  <c r="AP42" i="38"/>
  <c r="AQ41" i="38"/>
  <c r="AQ38" i="44"/>
  <c r="AQ32" i="36"/>
  <c r="AQ32" i="42" s="1"/>
  <c r="AQ30" i="42"/>
  <c r="AP42" i="44" l="1"/>
  <c r="AP12" i="38"/>
  <c r="AP7" i="38"/>
  <c r="AP17" i="38"/>
  <c r="AQ147" i="36"/>
  <c r="AQ147" i="42" s="1"/>
  <c r="AQ34" i="42"/>
  <c r="AQ42" i="38"/>
  <c r="AQ42" i="44" s="1"/>
  <c r="AQ41" i="44"/>
  <c r="AQ33" i="42"/>
  <c r="AQ146" i="36"/>
  <c r="AQ146" i="42" s="1"/>
  <c r="AQ36" i="36"/>
  <c r="AQ36" i="42" s="1"/>
  <c r="AQ148" i="36"/>
  <c r="AQ148" i="42" s="1"/>
  <c r="AQ55" i="46"/>
  <c r="AP17" i="44" l="1"/>
  <c r="AQ17" i="38"/>
  <c r="AQ17" i="44" s="1"/>
  <c r="AP26" i="39"/>
  <c r="AQ12" i="38"/>
  <c r="AQ12" i="44" s="1"/>
  <c r="AP12" i="44"/>
  <c r="AP7" i="44"/>
  <c r="AP24" i="39"/>
  <c r="AQ7" i="38"/>
  <c r="AQ7" i="44" s="1"/>
  <c r="AP24" i="46" l="1"/>
  <c r="AP27" i="39"/>
  <c r="AQ24" i="39"/>
  <c r="AQ26" i="39"/>
  <c r="AQ26" i="46" s="1"/>
  <c r="AP26" i="46"/>
  <c r="AP39" i="39" l="1"/>
  <c r="AP27" i="46"/>
  <c r="AQ27" i="39"/>
  <c r="AQ24" i="46"/>
  <c r="AQ39" i="39" l="1"/>
  <c r="AQ27" i="46"/>
  <c r="AP41" i="39"/>
  <c r="AP39" i="46"/>
  <c r="AP6" i="38" l="1"/>
  <c r="AP41" i="46"/>
  <c r="AQ41" i="39"/>
  <c r="AQ39" i="46"/>
  <c r="AQ41" i="46" l="1"/>
  <c r="AV40" i="39"/>
  <c r="AV40" i="46" s="1"/>
  <c r="AR40" i="39"/>
  <c r="AR40" i="46" s="1"/>
  <c r="AP6" i="44"/>
  <c r="AP46" i="39"/>
  <c r="AQ6" i="38"/>
  <c r="AR21" i="36"/>
  <c r="AP11" i="38"/>
  <c r="AR21" i="42" l="1"/>
  <c r="AR23" i="36"/>
  <c r="AP48" i="39"/>
  <c r="AP48" i="46" s="1"/>
  <c r="AP46" i="46"/>
  <c r="AP20" i="38"/>
  <c r="AP11" i="44"/>
  <c r="AQ6" i="44"/>
  <c r="AQ11" i="38"/>
  <c r="AQ46" i="39"/>
  <c r="AQ20" i="38" l="1"/>
  <c r="AQ11" i="44"/>
  <c r="AQ48" i="39"/>
  <c r="AQ48" i="46" s="1"/>
  <c r="AQ46" i="46"/>
  <c r="AP43" i="38"/>
  <c r="AP43" i="44" s="1"/>
  <c r="AP20" i="44"/>
  <c r="AR24" i="36"/>
  <c r="AR23" i="42"/>
  <c r="AR25" i="36" l="1"/>
  <c r="AR24" i="42"/>
  <c r="AR29" i="36"/>
  <c r="AQ43" i="38"/>
  <c r="AQ43" i="44" s="1"/>
  <c r="AQ20" i="44"/>
  <c r="AR34" i="36" l="1"/>
  <c r="AR29" i="42"/>
  <c r="AR25" i="42"/>
  <c r="AR6" i="39"/>
  <c r="AR27" i="36"/>
  <c r="AR32" i="36" l="1"/>
  <c r="AR32" i="42" s="1"/>
  <c r="AR27" i="42"/>
  <c r="AR33" i="36"/>
  <c r="AR6" i="46"/>
  <c r="AR22" i="39"/>
  <c r="AR38" i="38"/>
  <c r="AR147" i="36"/>
  <c r="AR147" i="42" s="1"/>
  <c r="AR34" i="42"/>
  <c r="AR55" i="39" l="1"/>
  <c r="AR22" i="46"/>
  <c r="AR41" i="38"/>
  <c r="AR38" i="44"/>
  <c r="AR146" i="36"/>
  <c r="AR146" i="42" s="1"/>
  <c r="AR33" i="42"/>
  <c r="AR41" i="44" l="1"/>
  <c r="AR62" i="38"/>
  <c r="AR62" i="44" s="1"/>
  <c r="AR42" i="38"/>
  <c r="AR148" i="36"/>
  <c r="AR148" i="42" s="1"/>
  <c r="AR55" i="46"/>
  <c r="AR42" i="44" l="1"/>
  <c r="AR12" i="38"/>
  <c r="AR12" i="44" s="1"/>
  <c r="AR7" i="38"/>
  <c r="AR17" i="38"/>
  <c r="AR7" i="44" l="1"/>
  <c r="AR24" i="39"/>
  <c r="AR26" i="39"/>
  <c r="AR26" i="46" s="1"/>
  <c r="AR17" i="44"/>
  <c r="AR27" i="39" l="1"/>
  <c r="AR24" i="46"/>
  <c r="AR39" i="39" l="1"/>
  <c r="AR27" i="46"/>
  <c r="AR41" i="39" l="1"/>
  <c r="AR39" i="46"/>
  <c r="AR41" i="46" l="1"/>
  <c r="AR6" i="38"/>
  <c r="AS40" i="39"/>
  <c r="AS40" i="46" s="1"/>
  <c r="AR6" i="44" l="1"/>
  <c r="AR46" i="39"/>
  <c r="AS21" i="36"/>
  <c r="AR11" i="38"/>
  <c r="AR20" i="38" l="1"/>
  <c r="AR11" i="44"/>
  <c r="AS21" i="42"/>
  <c r="AS23" i="36"/>
  <c r="AR48" i="39"/>
  <c r="AR48" i="46" s="1"/>
  <c r="AR46" i="46"/>
  <c r="AS24" i="36" l="1"/>
  <c r="AS23" i="42"/>
  <c r="AR43" i="38"/>
  <c r="AR43" i="44" s="1"/>
  <c r="AR20" i="44"/>
  <c r="AS25" i="36" l="1"/>
  <c r="AS24" i="42"/>
  <c r="AS29" i="36"/>
  <c r="AS34" i="36" l="1"/>
  <c r="AS29" i="42"/>
  <c r="AS25" i="42"/>
  <c r="AS27" i="36"/>
  <c r="AS6" i="39"/>
  <c r="AS27" i="42" l="1"/>
  <c r="AS32" i="36"/>
  <c r="AS32" i="42" s="1"/>
  <c r="AS33" i="36"/>
  <c r="AS6" i="46"/>
  <c r="AS22" i="39"/>
  <c r="AS38" i="38"/>
  <c r="AS147" i="36"/>
  <c r="AS147" i="42" s="1"/>
  <c r="AS34" i="42"/>
  <c r="AS146" i="36" l="1"/>
  <c r="AS146" i="42" s="1"/>
  <c r="AS33" i="42"/>
  <c r="AS55" i="39"/>
  <c r="AS22" i="46"/>
  <c r="AS41" i="38"/>
  <c r="AS38" i="44"/>
  <c r="AS148" i="36" l="1"/>
  <c r="AS148" i="42" s="1"/>
  <c r="AS55" i="46"/>
  <c r="AS41" i="44"/>
  <c r="AS42" i="38"/>
  <c r="AS62" i="38"/>
  <c r="AS62" i="44" s="1"/>
  <c r="AS42" i="44" l="1"/>
  <c r="AS7" i="38"/>
  <c r="AS12" i="38"/>
  <c r="AS12" i="44" s="1"/>
  <c r="AS17" i="38"/>
  <c r="AS7" i="44" l="1"/>
  <c r="AS24" i="39"/>
  <c r="AS26" i="39"/>
  <c r="AS26" i="46" s="1"/>
  <c r="AS17" i="44"/>
  <c r="AS27" i="39" l="1"/>
  <c r="AS24" i="46"/>
  <c r="AS39" i="39" l="1"/>
  <c r="AS27" i="46"/>
  <c r="AS41" i="39" l="1"/>
  <c r="AS39" i="46"/>
  <c r="AS41" i="46" l="1"/>
  <c r="AS6" i="38"/>
  <c r="AT40" i="39"/>
  <c r="AT40" i="46" s="1"/>
  <c r="AS6" i="44" l="1"/>
  <c r="AS46" i="39"/>
  <c r="AS11" i="38"/>
  <c r="AT21" i="36"/>
  <c r="AS48" i="39" l="1"/>
  <c r="AS48" i="46" s="1"/>
  <c r="AS46" i="46"/>
  <c r="AT21" i="42"/>
  <c r="AT23" i="36"/>
  <c r="AS20" i="38"/>
  <c r="AS11" i="44"/>
  <c r="AS43" i="38" l="1"/>
  <c r="AS43" i="44" s="1"/>
  <c r="AS20" i="44"/>
  <c r="AT23" i="42"/>
  <c r="AT24" i="36"/>
  <c r="AT29" i="36" l="1"/>
  <c r="AT24" i="42"/>
  <c r="AT25" i="36"/>
  <c r="AT27" i="36" l="1"/>
  <c r="AT25" i="42"/>
  <c r="AT6" i="39"/>
  <c r="AT34" i="36"/>
  <c r="AT29" i="42"/>
  <c r="AT147" i="36" l="1"/>
  <c r="AT147" i="42" s="1"/>
  <c r="AT34" i="42"/>
  <c r="AT22" i="39"/>
  <c r="AT6" i="46"/>
  <c r="AT38" i="38"/>
  <c r="AT27" i="42"/>
  <c r="AT33" i="36"/>
  <c r="AT32" i="36"/>
  <c r="AT32" i="42" s="1"/>
  <c r="AT55" i="39" l="1"/>
  <c r="AT22" i="46"/>
  <c r="AT146" i="36"/>
  <c r="AT146" i="42" s="1"/>
  <c r="AT33" i="42"/>
  <c r="AT41" i="38"/>
  <c r="AT38" i="44"/>
  <c r="AT62" i="38" l="1"/>
  <c r="AT62" i="44" s="1"/>
  <c r="AT42" i="38"/>
  <c r="AT41" i="44"/>
  <c r="AT148" i="36"/>
  <c r="AT148" i="42" s="1"/>
  <c r="AT55" i="46"/>
  <c r="AT7" i="38" l="1"/>
  <c r="AT7" i="44" s="1"/>
  <c r="AT42" i="44"/>
  <c r="AT12" i="38"/>
  <c r="AT17" i="38"/>
  <c r="AT26" i="39" l="1"/>
  <c r="AT26" i="46" s="1"/>
  <c r="AT17" i="44"/>
  <c r="AT24" i="39"/>
  <c r="AT12" i="44"/>
  <c r="AT27" i="39" l="1"/>
  <c r="AT24" i="46"/>
  <c r="AT39" i="39" l="1"/>
  <c r="AT27" i="46"/>
  <c r="AT41" i="39" l="1"/>
  <c r="AT39" i="46"/>
  <c r="AT6" i="38" l="1"/>
  <c r="AU40" i="39"/>
  <c r="AU40" i="46" s="1"/>
  <c r="AT41" i="46"/>
  <c r="AU21" i="36" l="1"/>
  <c r="AT11" i="38"/>
  <c r="AT46" i="39"/>
  <c r="AT6" i="44"/>
  <c r="AT20" i="38" l="1"/>
  <c r="AT11" i="44"/>
  <c r="AT48" i="39"/>
  <c r="AT48" i="46" s="1"/>
  <c r="AT46" i="46"/>
  <c r="AU23" i="36"/>
  <c r="AU21" i="42"/>
  <c r="AV21" i="36"/>
  <c r="AV23" i="36" l="1"/>
  <c r="AV21" i="42"/>
  <c r="AU24" i="36"/>
  <c r="AU23" i="42"/>
  <c r="AT43" i="38"/>
  <c r="AT43" i="44" s="1"/>
  <c r="AT20" i="44"/>
  <c r="AU25" i="36" l="1"/>
  <c r="AU24" i="42"/>
  <c r="AV24" i="36"/>
  <c r="AU29" i="36"/>
  <c r="AV25" i="36"/>
  <c r="AV23" i="42"/>
  <c r="AV143" i="36" l="1"/>
  <c r="AV143" i="42" s="1"/>
  <c r="AV24" i="42"/>
  <c r="AV29" i="36"/>
  <c r="AV27" i="36"/>
  <c r="AV25" i="42"/>
  <c r="AU34" i="36"/>
  <c r="AU29" i="42"/>
  <c r="AU6" i="39"/>
  <c r="AU27" i="36"/>
  <c r="AU25" i="42"/>
  <c r="AU147" i="36" l="1"/>
  <c r="AU147" i="42" s="1"/>
  <c r="AU34" i="42"/>
  <c r="AU33" i="36"/>
  <c r="AU32" i="36"/>
  <c r="AU32" i="42" s="1"/>
  <c r="AU27" i="42"/>
  <c r="AV27" i="42"/>
  <c r="AV30" i="36"/>
  <c r="AV31" i="36"/>
  <c r="AV6" i="39"/>
  <c r="AU22" i="39"/>
  <c r="AU6" i="46"/>
  <c r="AU38" i="38"/>
  <c r="AV34" i="36"/>
  <c r="AV29" i="42"/>
  <c r="AU55" i="39" l="1"/>
  <c r="AU22" i="46"/>
  <c r="AV22" i="39"/>
  <c r="AV6" i="46"/>
  <c r="AV38" i="38"/>
  <c r="AU41" i="38"/>
  <c r="AU38" i="44"/>
  <c r="AV33" i="36"/>
  <c r="AV31" i="42"/>
  <c r="AV147" i="36"/>
  <c r="AV147" i="42" s="1"/>
  <c r="AV34" i="42"/>
  <c r="AV32" i="36"/>
  <c r="AV32" i="42" s="1"/>
  <c r="AV30" i="42"/>
  <c r="AU146" i="36"/>
  <c r="AU146" i="42" s="1"/>
  <c r="AU33" i="42"/>
  <c r="AU62" i="38" l="1"/>
  <c r="AU62" i="44" s="1"/>
  <c r="AU42" i="38"/>
  <c r="AU41" i="44"/>
  <c r="AV146" i="36"/>
  <c r="AV146" i="42" s="1"/>
  <c r="AV36" i="36"/>
  <c r="AV36" i="42" s="1"/>
  <c r="AV33" i="42"/>
  <c r="AV41" i="38"/>
  <c r="AV38" i="44"/>
  <c r="AV55" i="39"/>
  <c r="AV22" i="46"/>
  <c r="AU148" i="36"/>
  <c r="AU148" i="42" s="1"/>
  <c r="AU55" i="46"/>
  <c r="AV42" i="38" l="1"/>
  <c r="AV42" i="44" s="1"/>
  <c r="AV41" i="44"/>
  <c r="AU7" i="38"/>
  <c r="AU12" i="38"/>
  <c r="AU42" i="44"/>
  <c r="AU17" i="38"/>
  <c r="AV148" i="36"/>
  <c r="AV148" i="42" s="1"/>
  <c r="AV55" i="46"/>
  <c r="AU26" i="39" l="1"/>
  <c r="AV17" i="38"/>
  <c r="AV17" i="44" s="1"/>
  <c r="AU17" i="44"/>
  <c r="AV12" i="38"/>
  <c r="AV12" i="44" s="1"/>
  <c r="AU12" i="44"/>
  <c r="AV7" i="38"/>
  <c r="AV7" i="44" s="1"/>
  <c r="AU24" i="39"/>
  <c r="AU7" i="44"/>
  <c r="AU27" i="39" l="1"/>
  <c r="AU24" i="46"/>
  <c r="AV24" i="39"/>
  <c r="AV26" i="39"/>
  <c r="AV26" i="46" s="1"/>
  <c r="AU26" i="46"/>
  <c r="AV27" i="39" l="1"/>
  <c r="AV24" i="46"/>
  <c r="AU39" i="39"/>
  <c r="AU27" i="46"/>
  <c r="AU41" i="39" l="1"/>
  <c r="AU39" i="46"/>
  <c r="AV39" i="39"/>
  <c r="AV27" i="46"/>
  <c r="AV41" i="39" l="1"/>
  <c r="AV41" i="46" s="1"/>
  <c r="AV39" i="46"/>
  <c r="AU6" i="38"/>
  <c r="AU41" i="46"/>
  <c r="AU46" i="39" l="1"/>
  <c r="AU11" i="38"/>
  <c r="AV6" i="38"/>
  <c r="AU6" i="44"/>
  <c r="AV11" i="38" l="1"/>
  <c r="AV46" i="39"/>
  <c r="AV6" i="44"/>
  <c r="AU20" i="38"/>
  <c r="AU11" i="44"/>
  <c r="AU48" i="39"/>
  <c r="AU48" i="46" s="1"/>
  <c r="AU46" i="46"/>
  <c r="AU43" i="38" l="1"/>
  <c r="AU43" i="44" s="1"/>
  <c r="AU20" i="44"/>
  <c r="AV48" i="39"/>
  <c r="AV48" i="46" s="1"/>
  <c r="AV46" i="46"/>
  <c r="AV20" i="38"/>
  <c r="AV11" i="44"/>
  <c r="AV43" i="38" l="1"/>
  <c r="AV43" i="44" s="1"/>
  <c r="AV20"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Moschella</author>
    <author>Admin</author>
    <author>Gutenberg Research</author>
  </authors>
  <commentList>
    <comment ref="N8" authorId="0" shapeId="0" xr:uid="{FC4173FE-3CB6-4A20-9DD5-53F8529DE92D}">
      <text>
        <r>
          <rPr>
            <b/>
            <sz val="9"/>
            <color indexed="81"/>
            <rFont val="Tahoma"/>
            <family val="2"/>
          </rPr>
          <t xml:space="preserve">-----------Review of Historic Results------------
MD&amp;A Comment: </t>
        </r>
        <r>
          <rPr>
            <sz val="9"/>
            <color indexed="81"/>
            <rFont val="Tahoma"/>
            <family val="2"/>
          </rPr>
          <t xml:space="preserve">Total net revenues for the first quarter of fiscal 2021 decreased $348 million. Company-operated stores revenue declined $54 million, reflecting a 5% decrease in comparable store sales ($279 million) attributed to a 19% decrease in transactions partially offset by a 17% increase in average ticket. This decrease was partially offset by 667 net new Starbucks company-operated stores, or a 4% increase, over the past 12 months ($170 million) and favorable foreign currency translation ($69 million).
Licensed stores revenue decreased $178 million, primarily driven by lower product and equipment sales to and royalty revenues from our licensees.
Other revenues decreased $115 million, primarily due to the transition of certain single-serve product activities to Nestlé and lapping of transition activities related
to the Global Coffee Alliance in the prior year. Also contributing were lower Global Coffee Alliance revenues, mainly driven by the Foodservice business, which
experienced softening due to COVID-19.
</t>
        </r>
        <r>
          <rPr>
            <b/>
            <sz val="9"/>
            <color indexed="81"/>
            <rFont val="Tahoma"/>
            <family val="2"/>
          </rPr>
          <t>Source:</t>
        </r>
        <r>
          <rPr>
            <sz val="9"/>
            <color indexed="81"/>
            <rFont val="Tahoma"/>
            <family val="2"/>
          </rPr>
          <t xml:space="preserve"> F1Q2021 10-Q</t>
        </r>
      </text>
    </comment>
    <comment ref="P8" authorId="0" shapeId="0" xr:uid="{DA0F198E-4BE8-4B90-B0D2-097503E23726}">
      <text>
        <r>
          <rPr>
            <b/>
            <sz val="9"/>
            <color indexed="81"/>
            <rFont val="Tahoma"/>
            <family val="2"/>
          </rPr>
          <t>-----------Review of Historic Results--------
MD&amp;A Comment:</t>
        </r>
        <r>
          <rPr>
            <sz val="9"/>
            <color indexed="81"/>
            <rFont val="Tahoma"/>
            <family val="2"/>
          </rPr>
          <t xml:space="preserve"> Total net revenues for the third quarter of fiscal 2021 increased $3.3 billion, primarily due to higher revenues from company-operated stores ($2.9 billion). The growth of company-operated stores revenues was driven by a 73% increase in comparable store sales ($2.5 billion) attributed to a 75% increase in transactions offset by a 1% decrease in average ticket. Also contributing to the increase were incremental revenues from 612 net new Starbucks company-operated stores, or a 4% increase, over the past 12 months ($268 million) and favorable foreign currency translation ($119 million).
Licensed stores revenue increased $380 million, primarily driven by higher product and equipment sales to and royalty revenues from our licensees.
Other revenues decreased $24 million, primarily due to the transition of certain single-serve product activities to Nestlé. This was partially offset by higher product
sales and royalty revenue in the Global Coffee Alliance and growth in our ready-to-drink business.</t>
        </r>
        <r>
          <rPr>
            <b/>
            <sz val="9"/>
            <color indexed="81"/>
            <rFont val="Tahoma"/>
            <family val="2"/>
          </rPr>
          <t xml:space="preserve">
Source: </t>
        </r>
        <r>
          <rPr>
            <sz val="9"/>
            <color indexed="81"/>
            <rFont val="Tahoma"/>
            <family val="2"/>
          </rPr>
          <t>F3Q2021 10-Q</t>
        </r>
      </text>
    </comment>
    <comment ref="R8" authorId="0" shapeId="0" xr:uid="{5CE4FDFF-0836-4E2B-AF7C-2D8AA0FE8CE7}">
      <text>
        <r>
          <rPr>
            <b/>
            <sz val="9"/>
            <color indexed="81"/>
            <rFont val="Tahoma"/>
            <family val="2"/>
          </rPr>
          <t>Management Guidance:</t>
        </r>
        <r>
          <rPr>
            <sz val="9"/>
            <color indexed="81"/>
            <rFont val="Tahoma"/>
            <family val="2"/>
          </rPr>
          <t xml:space="preserve">  Consolidated revenue of $28.0 billion to $29.0 billion, inclusive of a $500 million impact attributable to the 53rd week
</t>
        </r>
        <r>
          <rPr>
            <b/>
            <sz val="9"/>
            <color indexed="81"/>
            <rFont val="Tahoma"/>
            <family val="2"/>
          </rPr>
          <t xml:space="preserve">Source: </t>
        </r>
        <r>
          <rPr>
            <sz val="9"/>
            <color indexed="81"/>
            <rFont val="Tahoma"/>
            <family val="2"/>
          </rPr>
          <t>F1Q2021 Press Release, January 26, 2021</t>
        </r>
      </text>
    </comment>
    <comment ref="B9" authorId="1" shapeId="0" xr:uid="{4DD90310-88BF-4CF7-922C-FE5BBB3A71B1}">
      <text>
        <r>
          <rPr>
            <sz val="9"/>
            <color indexed="81"/>
            <rFont val="Tahoma"/>
            <family val="2"/>
          </rPr>
          <t>'The caption "Product and distribution costs" replaced "Cost of sales" in financial statements published in periods prior to our third quarter of fiscal 2020. Besides the name change, there were no other changes in the types of costs reported within the
caption." 
Management views as a percentage of total net revenue. Margin % tends to shift with changes in food/beverage mix, cost of coffee, and changes in fx.</t>
        </r>
      </text>
    </comment>
    <comment ref="N9" authorId="0" shapeId="0" xr:uid="{FD9E95BF-B6DE-4039-A1F4-0091DE5B9BF0}">
      <text>
        <r>
          <rPr>
            <b/>
            <sz val="9"/>
            <color indexed="81"/>
            <rFont val="Tahoma"/>
            <family val="2"/>
          </rPr>
          <t xml:space="preserve">----Review of Historic Results-------
MD&amp;A Comment: </t>
        </r>
        <r>
          <rPr>
            <sz val="9"/>
            <color indexed="81"/>
            <rFont val="Tahoma"/>
            <family val="2"/>
          </rPr>
          <t>Product and distribution costs as a percentage of total net revenues decreased 110 basis points for the first quarter of fiscal 2021, primarily due to the transfer of certain single-serve products to Nestlé beginning in the fourth quarter of fiscal 2020 (approximately 90 basis points) and pricing in Americas.</t>
        </r>
        <r>
          <rPr>
            <b/>
            <sz val="9"/>
            <color indexed="81"/>
            <rFont val="Tahoma"/>
            <family val="2"/>
          </rPr>
          <t xml:space="preserve">
Source: </t>
        </r>
        <r>
          <rPr>
            <sz val="9"/>
            <color indexed="81"/>
            <rFont val="Tahoma"/>
            <family val="2"/>
          </rPr>
          <t>F1Q2021 10-Q</t>
        </r>
      </text>
    </comment>
    <comment ref="P9" authorId="0" shapeId="0" xr:uid="{AB99DEB7-E9C8-4606-9AB7-0AD19AEA6332}">
      <text>
        <r>
          <rPr>
            <b/>
            <sz val="9"/>
            <color indexed="81"/>
            <rFont val="Tahoma"/>
            <family val="2"/>
          </rPr>
          <t xml:space="preserve">-----------Review of Historic Results--------
MD&amp;A Comment: </t>
        </r>
        <r>
          <rPr>
            <sz val="9"/>
            <color indexed="81"/>
            <rFont val="Tahoma"/>
            <family val="2"/>
          </rPr>
          <t>Product and distribution costs as a percentage of total net revenues decreased 570 basis points for the third quarter of fiscal 2021, primarily due to sales leverage driven by lapping the severe impact of the COVID-19 pandemic in the prior year and pricing in the Americas.</t>
        </r>
        <r>
          <rPr>
            <b/>
            <sz val="9"/>
            <color indexed="81"/>
            <rFont val="Tahoma"/>
            <family val="2"/>
          </rPr>
          <t xml:space="preserve">
Source: </t>
        </r>
        <r>
          <rPr>
            <sz val="9"/>
            <color indexed="81"/>
            <rFont val="Tahoma"/>
            <family val="2"/>
          </rPr>
          <t>F3Q2021 10-Q</t>
        </r>
      </text>
    </comment>
    <comment ref="N10" authorId="0" shapeId="0" xr:uid="{9791231D-845A-449D-8BE8-93E54C344658}">
      <text>
        <r>
          <rPr>
            <b/>
            <sz val="9"/>
            <color indexed="81"/>
            <rFont val="Tahoma"/>
            <family val="2"/>
          </rPr>
          <t>-----------Review of Historic Results------------
MD&amp;A Comment:</t>
        </r>
        <r>
          <rPr>
            <sz val="9"/>
            <color indexed="81"/>
            <rFont val="Tahoma"/>
            <family val="2"/>
          </rPr>
          <t xml:space="preserve"> Store operating expenses as a percentage of total net revenues increased 270 basis points for the first quarter of fiscal 2021. Store operating expenses as a percentage of company-operated store revenues increased 130 basis points, primarily due to sales deleverage attributable to COVID-19 impacts, as well as catastrophe pay programs for retail partners, net of benefits provided by temporary subsidies from the U.S. and certain foreign governments (approximately 50 basis points), and growth in wages and benefits (approximately 180 basis points). These were partially offset by labor efficiencies (approximately 250 basis points).</t>
        </r>
        <r>
          <rPr>
            <b/>
            <sz val="9"/>
            <color indexed="81"/>
            <rFont val="Tahoma"/>
            <family val="2"/>
          </rPr>
          <t xml:space="preserve">
Source: </t>
        </r>
        <r>
          <rPr>
            <sz val="9"/>
            <color indexed="81"/>
            <rFont val="Tahoma"/>
            <family val="2"/>
          </rPr>
          <t>F1Q2021 10-Q</t>
        </r>
      </text>
    </comment>
    <comment ref="P10" authorId="0" shapeId="0" xr:uid="{9C244ACF-BB1B-4BAF-BFC6-0D5355F220F2}">
      <text>
        <r>
          <rPr>
            <b/>
            <sz val="9"/>
            <color indexed="81"/>
            <rFont val="Tahoma"/>
            <family val="2"/>
          </rPr>
          <t>-----------Review of Historic Results--------
MD&amp;A Comment:</t>
        </r>
        <r>
          <rPr>
            <sz val="9"/>
            <color indexed="81"/>
            <rFont val="Tahoma"/>
            <family val="2"/>
          </rPr>
          <t xml:space="preserve"> Store operating expenses as a percentage of total net revenues decreased 2,050 basis points for the third quarter of fiscal 2021. Store operating expenses as a percentage of company-operated store revenues decreased 2,710 basis points, primarily due to sales leverage from business recovery and lapping higher COVID 19 related costs in the prior year, mainly catastrophe and service pay for store partners, net of temporary subsidies from the U.S. and certain foreign governments (approximately 840 basis points). These increases were partially offset by additional investments in retail store partners wages and benefits (approximately 100 basis points).</t>
        </r>
        <r>
          <rPr>
            <b/>
            <sz val="9"/>
            <color indexed="81"/>
            <rFont val="Tahoma"/>
            <family val="2"/>
          </rPr>
          <t xml:space="preserve">
Source:</t>
        </r>
        <r>
          <rPr>
            <sz val="9"/>
            <color indexed="81"/>
            <rFont val="Tahoma"/>
            <family val="2"/>
          </rPr>
          <t xml:space="preserve"> F3Q2021 10-Q</t>
        </r>
      </text>
    </comment>
    <comment ref="N11" authorId="0" shapeId="0" xr:uid="{5C883CCE-6819-4DFB-8DFE-2675FBFC4DE8}">
      <text>
        <r>
          <rPr>
            <b/>
            <sz val="9"/>
            <color indexed="81"/>
            <rFont val="Tahoma"/>
            <family val="2"/>
          </rPr>
          <t xml:space="preserve">----Review of Historic Results-----
MD&amp;A Comment: </t>
        </r>
        <r>
          <rPr>
            <sz val="9"/>
            <color indexed="81"/>
            <rFont val="Tahoma"/>
            <family val="2"/>
          </rPr>
          <t>Other operating expenses decreased $10 million for the first quarter of fiscal 2021, primarily due to lapping prior year incremental costs to develop and grow the Global Coffee Alliance.</t>
        </r>
        <r>
          <rPr>
            <b/>
            <sz val="9"/>
            <color indexed="81"/>
            <rFont val="Tahoma"/>
            <family val="2"/>
          </rPr>
          <t xml:space="preserve">
Source: </t>
        </r>
        <r>
          <rPr>
            <sz val="9"/>
            <color indexed="81"/>
            <rFont val="Tahoma"/>
            <family val="2"/>
          </rPr>
          <t>F1Q2021 10-Q</t>
        </r>
      </text>
    </comment>
    <comment ref="P11" authorId="0" shapeId="0" xr:uid="{EBC2D1C8-EB76-4A09-A165-00575EE794BE}">
      <text>
        <r>
          <rPr>
            <b/>
            <sz val="9"/>
            <color indexed="81"/>
            <rFont val="Tahoma"/>
            <family val="2"/>
          </rPr>
          <t xml:space="preserve">-----------Review of Historic Results--------
MD&amp;A Comment: </t>
        </r>
        <r>
          <rPr>
            <sz val="9"/>
            <color indexed="81"/>
            <rFont val="Tahoma"/>
            <family val="2"/>
          </rPr>
          <t>Other operating expenses decreased $62 million for the third quarter of fiscal 2021, primarily due to lower Global Coffee Alliance transaction costs, inclusive of
lapping certain transition items from the prior year and a change in estimate relating to a transaction cost accrual.</t>
        </r>
        <r>
          <rPr>
            <b/>
            <sz val="9"/>
            <color indexed="81"/>
            <rFont val="Tahoma"/>
            <family val="2"/>
          </rPr>
          <t xml:space="preserve">
Source: </t>
        </r>
        <r>
          <rPr>
            <sz val="9"/>
            <color indexed="81"/>
            <rFont val="Tahoma"/>
            <family val="2"/>
          </rPr>
          <t>F3Q2021 10-Q</t>
        </r>
      </text>
    </comment>
    <comment ref="N12" authorId="0" shapeId="0" xr:uid="{7959FD05-22DC-4B26-9949-9D693F49A31F}">
      <text>
        <r>
          <rPr>
            <b/>
            <sz val="9"/>
            <color indexed="81"/>
            <rFont val="Tahoma"/>
            <family val="2"/>
          </rPr>
          <t xml:space="preserve">------Review of Historic Results---
MD&amp;A Comment: </t>
        </r>
        <r>
          <rPr>
            <sz val="9"/>
            <color indexed="81"/>
            <rFont val="Tahoma"/>
            <family val="2"/>
          </rPr>
          <t>Depreciation and amortization expenses as a percentage of total net revenues increased 50 basis points, primarily due to sales eleverage.</t>
        </r>
        <r>
          <rPr>
            <b/>
            <sz val="9"/>
            <color indexed="81"/>
            <rFont val="Tahoma"/>
            <family val="2"/>
          </rPr>
          <t xml:space="preserve">
Source: </t>
        </r>
        <r>
          <rPr>
            <sz val="9"/>
            <color indexed="81"/>
            <rFont val="Tahoma"/>
            <family val="2"/>
          </rPr>
          <t>F1Q2021 10-Q</t>
        </r>
      </text>
    </comment>
    <comment ref="P12" authorId="0" shapeId="0" xr:uid="{18046147-CACD-4B42-B42A-5E4E456F3072}">
      <text>
        <r>
          <rPr>
            <b/>
            <sz val="9"/>
            <color indexed="81"/>
            <rFont val="Tahoma"/>
            <family val="2"/>
          </rPr>
          <t xml:space="preserve">-----------Review of Historic Results--------
MD&amp;A Comment: </t>
        </r>
        <r>
          <rPr>
            <sz val="9"/>
            <color indexed="81"/>
            <rFont val="Tahoma"/>
            <family val="2"/>
          </rPr>
          <t>Depreciation and amortization expenses as a percentage of total net revenues decreased 390 basis points, primarily due to sales leverage.</t>
        </r>
        <r>
          <rPr>
            <b/>
            <sz val="9"/>
            <color indexed="81"/>
            <rFont val="Tahoma"/>
            <family val="2"/>
          </rPr>
          <t xml:space="preserve">
Source: </t>
        </r>
        <r>
          <rPr>
            <sz val="9"/>
            <color indexed="81"/>
            <rFont val="Tahoma"/>
            <family val="2"/>
          </rPr>
          <t>F3Q2021 10-Q</t>
        </r>
      </text>
    </comment>
    <comment ref="N13" authorId="0" shapeId="0" xr:uid="{2D466054-3497-4B9F-A654-7C408E9390A6}">
      <text>
        <r>
          <rPr>
            <b/>
            <sz val="9"/>
            <color indexed="81"/>
            <rFont val="Tahoma"/>
            <family val="2"/>
          </rPr>
          <t xml:space="preserve">------Review of Historic Results-----
MD&amp;A Comment: </t>
        </r>
        <r>
          <rPr>
            <sz val="9"/>
            <color indexed="81"/>
            <rFont val="Tahoma"/>
            <family val="2"/>
          </rPr>
          <t>General and administrative expenses increased $38 million, primarily due to incremental strategic investments in technology ($28 million) and higher performance-based compensation, recognizing the strength of the company's overall recovery from pandemic-related business impacts ($18 million).</t>
        </r>
        <r>
          <rPr>
            <b/>
            <sz val="9"/>
            <color indexed="81"/>
            <rFont val="Tahoma"/>
            <family val="2"/>
          </rPr>
          <t xml:space="preserve">
Source: </t>
        </r>
        <r>
          <rPr>
            <sz val="9"/>
            <color indexed="81"/>
            <rFont val="Tahoma"/>
            <family val="2"/>
          </rPr>
          <t>F1Q2021 10-Q</t>
        </r>
      </text>
    </comment>
    <comment ref="P13" authorId="0" shapeId="0" xr:uid="{425CBD2F-7389-4EB1-9067-BF5E17987AF5}">
      <text>
        <r>
          <rPr>
            <b/>
            <sz val="9"/>
            <color indexed="81"/>
            <rFont val="Tahoma"/>
            <family val="2"/>
          </rPr>
          <t xml:space="preserve">-----------Review of Historic Results--------
MD&amp;A Comment: </t>
        </r>
        <r>
          <rPr>
            <sz val="9"/>
            <color indexed="81"/>
            <rFont val="Tahoma"/>
            <family val="2"/>
          </rPr>
          <t>General and administrative expenses increased $95 million, primarily due to higher performance-based compensation recognizing the better than expected business
recovery ($64 million) and incremental strategic investments in technology ($21 million).</t>
        </r>
        <r>
          <rPr>
            <b/>
            <sz val="9"/>
            <color indexed="81"/>
            <rFont val="Tahoma"/>
            <family val="2"/>
          </rPr>
          <t xml:space="preserve">
Source: </t>
        </r>
        <r>
          <rPr>
            <sz val="9"/>
            <color indexed="81"/>
            <rFont val="Tahoma"/>
            <family val="2"/>
          </rPr>
          <t>F3Q2021 10-Q</t>
        </r>
      </text>
    </comment>
    <comment ref="L14" authorId="2" shapeId="0" xr:uid="{6238CEC7-BEF8-4673-9056-CB25FDE62DAB}">
      <text>
        <r>
          <rPr>
            <b/>
            <sz val="9"/>
            <color indexed="81"/>
            <rFont val="Tahoma"/>
            <family val="2"/>
          </rPr>
          <t xml:space="preserve">Note (updated on 7/14): </t>
        </r>
        <r>
          <rPr>
            <sz val="9"/>
            <color indexed="81"/>
            <rFont val="Tahoma"/>
            <family val="2"/>
          </rPr>
          <t xml:space="preserve">Since management guided restructing costs to $0.11 per share (approximately $129M) we can change our opex allocation to meet this guidance [Increase allocation in cell L74 by 1.86% of the total opex allocation, and subtract 1.86% from Store operating expense]. </t>
        </r>
        <r>
          <rPr>
            <sz val="9"/>
            <color indexed="81"/>
            <rFont val="Tahoma"/>
            <family val="2"/>
          </rPr>
          <t xml:space="preserve">
</t>
        </r>
      </text>
    </comment>
    <comment ref="N14" authorId="0" shapeId="0" xr:uid="{3C474D17-A5C2-4808-87EF-7885E0783CF1}">
      <text>
        <r>
          <rPr>
            <b/>
            <sz val="9"/>
            <color indexed="81"/>
            <rFont val="Tahoma"/>
            <family val="2"/>
          </rPr>
          <t xml:space="preserve">--Review of Historic Results-----------
MD&amp;A Comment: </t>
        </r>
        <r>
          <rPr>
            <sz val="9"/>
            <color indexed="81"/>
            <rFont val="Tahoma"/>
            <family val="2"/>
          </rPr>
          <t>Restructuring and impairment expenses increased $66 million, primarily due to higher asset impairment related to store portfolio optimization ($42 million) and accelerated amortization of right-of-use lease assets associated with the closure of certain company-operated stores ($26 million).</t>
        </r>
        <r>
          <rPr>
            <b/>
            <sz val="9"/>
            <color indexed="81"/>
            <rFont val="Tahoma"/>
            <family val="2"/>
          </rPr>
          <t xml:space="preserve">
Source: </t>
        </r>
        <r>
          <rPr>
            <sz val="9"/>
            <color indexed="81"/>
            <rFont val="Tahoma"/>
            <family val="2"/>
          </rPr>
          <t>F1Q2021 10-Q</t>
        </r>
      </text>
    </comment>
    <comment ref="P14" authorId="0" shapeId="0" xr:uid="{D7336DF9-F522-4546-B771-FBE7AD16F236}">
      <text>
        <r>
          <rPr>
            <b/>
            <sz val="9"/>
            <color indexed="81"/>
            <rFont val="Tahoma"/>
            <family val="2"/>
          </rPr>
          <t xml:space="preserve">-----------Review of Historic Results--------
MD&amp;A Comment: </t>
        </r>
        <r>
          <rPr>
            <sz val="9"/>
            <color indexed="81"/>
            <rFont val="Tahoma"/>
            <family val="2"/>
          </rPr>
          <t>Restructuring and impairment expenses decreased $58 million, primarily due to lower asset impairment related to store portfolio optimization ($34 million) and
lapping the intangible asset impairment from the prior year ($22 million).</t>
        </r>
        <r>
          <rPr>
            <b/>
            <sz val="9"/>
            <color indexed="81"/>
            <rFont val="Tahoma"/>
            <family val="2"/>
          </rPr>
          <t xml:space="preserve">
Source: </t>
        </r>
        <r>
          <rPr>
            <sz val="9"/>
            <color indexed="81"/>
            <rFont val="Tahoma"/>
            <family val="2"/>
          </rPr>
          <t>F3Q2021 10-Q</t>
        </r>
      </text>
    </comment>
    <comment ref="B16" authorId="1" shapeId="0" xr:uid="{84152034-FA18-4F06-A203-A74731492ECE}">
      <text>
        <r>
          <rPr>
            <sz val="9"/>
            <color indexed="81"/>
            <rFont val="Tahoma"/>
            <family val="2"/>
          </rPr>
          <t>10-K: "Equity investments are accounted for using the equity method of accounting if the investment gives us the ability to exercise significant influence, but not control, over an investee. Equity method investments are included within long-term  investments on our consolidated balance sheets. Our share of the earnings or losses as reported by equity method investees are classified as income from equity investees on our consolidated statements of earnings.
Equity investments for which we do not have the ability to exercise significant influence are accounted for using the cost method of accounting and are recorded in long-term investments on our consolidated balance sheets. Under the cost method, investments are carried at cost and are adjusted only for other-than-temporary declines in fair value, certain distributions and additional investments."</t>
        </r>
      </text>
    </comment>
    <comment ref="N16" authorId="0" shapeId="0" xr:uid="{B521454C-8602-4F5A-872C-3C7D5EE45817}">
      <text>
        <r>
          <rPr>
            <b/>
            <sz val="9"/>
            <color indexed="81"/>
            <rFont val="Tahoma"/>
            <family val="2"/>
          </rPr>
          <t xml:space="preserve">-------Review of Historic Results------MD&amp;A Comment: </t>
        </r>
        <r>
          <rPr>
            <sz val="9"/>
            <color indexed="81"/>
            <rFont val="Tahoma"/>
            <family val="2"/>
          </rPr>
          <t>Income from equity investees increased $9 million, primarily due to higher income from our North American Coffee Partnership joint venture, partially offset by temporary store closures and reduced operating hours in our South Korea and India joint ventures.</t>
        </r>
        <r>
          <rPr>
            <b/>
            <sz val="9"/>
            <color indexed="81"/>
            <rFont val="Tahoma"/>
            <family val="2"/>
          </rPr>
          <t xml:space="preserve">
Source: </t>
        </r>
        <r>
          <rPr>
            <sz val="9"/>
            <color indexed="81"/>
            <rFont val="Tahoma"/>
            <family val="2"/>
          </rPr>
          <t>F1Q2021 10-Q</t>
        </r>
      </text>
    </comment>
    <comment ref="P16" authorId="0" shapeId="0" xr:uid="{5208089E-7D93-4545-A81B-9729E91254D9}">
      <text>
        <r>
          <rPr>
            <b/>
            <sz val="9"/>
            <color indexed="81"/>
            <rFont val="Tahoma"/>
            <family val="2"/>
          </rPr>
          <t>-----------Review of Historic Results--------
MD&amp;A Comment:</t>
        </r>
        <r>
          <rPr>
            <sz val="9"/>
            <color indexed="81"/>
            <rFont val="Tahoma"/>
            <family val="2"/>
          </rPr>
          <t xml:space="preserve"> Income from equity investees increased $37 million, primarily due to higher income from our South Korea joint venture attributable to net new store growth and lapping lower royalty income due to the severe impact of the COVID-19 pandemic in the prior year ($18 million). Higher income from our North American Coffee Partnership joint venture also contributed ($13 million).</t>
        </r>
        <r>
          <rPr>
            <b/>
            <sz val="9"/>
            <color indexed="81"/>
            <rFont val="Tahoma"/>
            <family val="2"/>
          </rPr>
          <t xml:space="preserve">
Source: </t>
        </r>
        <r>
          <rPr>
            <sz val="9"/>
            <color indexed="81"/>
            <rFont val="Tahoma"/>
            <family val="2"/>
          </rPr>
          <t>F3Q2021 10-Q</t>
        </r>
      </text>
    </comment>
    <comment ref="P21" authorId="0" shapeId="0" xr:uid="{DDD88715-BBCF-4D4F-AF4B-4878A9FC9C8D}">
      <text>
        <r>
          <rPr>
            <b/>
            <sz val="9"/>
            <color indexed="81"/>
            <rFont val="Tahoma"/>
            <family val="2"/>
          </rPr>
          <t xml:space="preserve">-----------Review of Historic Results--------
MD&amp;A Comment: </t>
        </r>
        <r>
          <rPr>
            <sz val="9"/>
            <color indexed="81"/>
            <rFont val="Tahoma"/>
            <family val="2"/>
          </rPr>
          <t>Interest income and other, net increased $23 million, primarily due to additional gains from certain investments.</t>
        </r>
        <r>
          <rPr>
            <b/>
            <sz val="9"/>
            <color indexed="81"/>
            <rFont val="Tahoma"/>
            <family val="2"/>
          </rPr>
          <t xml:space="preserve">
Source: </t>
        </r>
        <r>
          <rPr>
            <sz val="9"/>
            <color indexed="81"/>
            <rFont val="Tahoma"/>
            <family val="2"/>
          </rPr>
          <t>F3Q2021 10-Q</t>
        </r>
      </text>
    </comment>
    <comment ref="H22" authorId="1" shapeId="0" xr:uid="{3C9A7756-3B4B-4679-A466-9A78FF6CC450}">
      <text>
        <r>
          <rPr>
            <b/>
            <sz val="9"/>
            <color indexed="81"/>
            <rFont val="Tahoma"/>
            <family val="2"/>
          </rPr>
          <t>F3Q2019 Earnings call (7/25/2019) guidance for FY2019:</t>
        </r>
        <r>
          <rPr>
            <sz val="9"/>
            <color indexed="81"/>
            <rFont val="Tahoma"/>
            <family val="2"/>
          </rPr>
          <t xml:space="preserve"> Interest Expense guided to $330M.</t>
        </r>
      </text>
    </comment>
    <comment ref="M22" authorId="1" shapeId="0" xr:uid="{155B7C85-03A1-4BB0-B0C7-B9865A702162}">
      <text>
        <r>
          <rPr>
            <b/>
            <sz val="9"/>
            <color indexed="81"/>
            <rFont val="Tahoma"/>
            <family val="2"/>
          </rPr>
          <t xml:space="preserve">Management Guidance: </t>
        </r>
        <r>
          <rPr>
            <sz val="9"/>
            <color indexed="81"/>
            <rFont val="Tahoma"/>
            <family val="2"/>
          </rPr>
          <t>Interest expense of approximately $435 million to $445 million</t>
        </r>
        <r>
          <rPr>
            <b/>
            <sz val="9"/>
            <color indexed="81"/>
            <rFont val="Tahoma"/>
            <family val="2"/>
          </rPr>
          <t xml:space="preserve">
Source: </t>
        </r>
        <r>
          <rPr>
            <sz val="9"/>
            <color indexed="81"/>
            <rFont val="Tahoma"/>
            <family val="2"/>
          </rPr>
          <t>F3Q2020 Press Release, July 28, 2020</t>
        </r>
      </text>
    </comment>
    <comment ref="N22" authorId="0" shapeId="0" xr:uid="{6DD9557C-53CB-49F6-9B0C-3A4F05ED8FDB}">
      <text>
        <r>
          <rPr>
            <b/>
            <sz val="9"/>
            <color indexed="81"/>
            <rFont val="Tahoma"/>
            <family val="2"/>
          </rPr>
          <t xml:space="preserve">-----------Review of Historic Results------------MD&amp;A Comment: </t>
        </r>
        <r>
          <rPr>
            <sz val="9"/>
            <color indexed="81"/>
            <rFont val="Tahoma"/>
            <family val="2"/>
          </rPr>
          <t>Interest expense increased $29 million, primarily due to additional interest incurred on long-term debt issued in March 2020 and May 2020.</t>
        </r>
        <r>
          <rPr>
            <b/>
            <sz val="9"/>
            <color indexed="81"/>
            <rFont val="Tahoma"/>
            <family val="2"/>
          </rPr>
          <t xml:space="preserve">
Source: </t>
        </r>
        <r>
          <rPr>
            <sz val="9"/>
            <color indexed="81"/>
            <rFont val="Tahoma"/>
            <family val="2"/>
          </rPr>
          <t>F1Q2021 10-Q</t>
        </r>
      </text>
    </comment>
    <comment ref="P22" authorId="0" shapeId="0" xr:uid="{45B28F27-923E-43CE-8BD8-4C992C8D3AFA}">
      <text>
        <r>
          <rPr>
            <b/>
            <sz val="9"/>
            <color indexed="81"/>
            <rFont val="Tahoma"/>
            <family val="2"/>
          </rPr>
          <t xml:space="preserve">-----------Review of Historic Results--------
MD&amp;A Comment: </t>
        </r>
        <r>
          <rPr>
            <sz val="9"/>
            <color indexed="81"/>
            <rFont val="Tahoma"/>
            <family val="2"/>
          </rPr>
          <t>Interest expense decreased $7 million, primarily due to lower debt balances attributed to repayments of short-term and current portion of long-term debt balances.</t>
        </r>
        <r>
          <rPr>
            <b/>
            <sz val="9"/>
            <color indexed="81"/>
            <rFont val="Tahoma"/>
            <family val="2"/>
          </rPr>
          <t xml:space="preserve">
Source: </t>
        </r>
        <r>
          <rPr>
            <sz val="9"/>
            <color indexed="81"/>
            <rFont val="Tahoma"/>
            <family val="2"/>
          </rPr>
          <t>F3Q2021 10-Q</t>
        </r>
      </text>
    </comment>
    <comment ref="R22" authorId="0" shapeId="0" xr:uid="{57CB2C40-033B-4B95-BB90-AC1EE291FE7F}">
      <text>
        <r>
          <rPr>
            <b/>
            <sz val="9"/>
            <color indexed="81"/>
            <rFont val="Tahoma"/>
            <family val="2"/>
          </rPr>
          <t xml:space="preserve">Management Guidance: </t>
        </r>
        <r>
          <rPr>
            <sz val="9"/>
            <color indexed="81"/>
            <rFont val="Tahoma"/>
            <family val="2"/>
          </rPr>
          <t xml:space="preserve">  Interest expense of approximately $470 million to $480 million.
</t>
        </r>
        <r>
          <rPr>
            <b/>
            <sz val="9"/>
            <color indexed="81"/>
            <rFont val="Tahoma"/>
            <family val="2"/>
          </rPr>
          <t>Source:</t>
        </r>
        <r>
          <rPr>
            <sz val="9"/>
            <color indexed="81"/>
            <rFont val="Tahoma"/>
            <family val="2"/>
          </rPr>
          <t xml:space="preserve"> F1Q2021 Press Release, January 26, 2021</t>
        </r>
      </text>
    </comment>
    <comment ref="N24" authorId="0" shapeId="0" xr:uid="{6C94CC9A-FA60-46D4-9AFB-1F0B116D0935}">
      <text>
        <r>
          <rPr>
            <b/>
            <sz val="9"/>
            <color indexed="81"/>
            <rFont val="Tahoma"/>
            <family val="2"/>
          </rPr>
          <t xml:space="preserve">-----------Review of Historic Results---------MD&amp;A Comment: </t>
        </r>
        <r>
          <rPr>
            <sz val="9"/>
            <color indexed="81"/>
            <rFont val="Tahoma"/>
            <family val="2"/>
          </rPr>
          <t>The effective tax rate for the quarter ended December 27, 2020 was 23.0% compared to 22.6% for the same quarter in fiscal 2020. The increase was primarily due to the effect of lower pre-tax earnings and the proportionate impacts from certain permanent differences and discrete items, as well as the foreign rate differential on our jurisdictional mix of earnings. This was partially offset by an increase in stock-based compensation excess tax benefits (approximately 190 basis points).</t>
        </r>
        <r>
          <rPr>
            <b/>
            <sz val="9"/>
            <color indexed="81"/>
            <rFont val="Tahoma"/>
            <family val="2"/>
          </rPr>
          <t xml:space="preserve">
Source:</t>
        </r>
        <r>
          <rPr>
            <sz val="9"/>
            <color indexed="81"/>
            <rFont val="Tahoma"/>
            <family val="2"/>
          </rPr>
          <t xml:space="preserve"> F1Q2021 10-Q</t>
        </r>
      </text>
    </comment>
    <comment ref="P24" authorId="0" shapeId="0" xr:uid="{AFF09461-63F4-4A41-95CD-DB8925B1A458}">
      <text>
        <r>
          <rPr>
            <b/>
            <sz val="9"/>
            <color indexed="81"/>
            <rFont val="Tahoma"/>
            <family val="2"/>
          </rPr>
          <t xml:space="preserve">-----------Review of Historic Results--------
MD&amp;A Comment: </t>
        </r>
        <r>
          <rPr>
            <sz val="9"/>
            <color indexed="81"/>
            <rFont val="Tahoma"/>
            <family val="2"/>
          </rPr>
          <t>The effective tax rate for the quarter ended June 27, 2021 was 18.2% compared to 16.5% for the same quarter in fiscal 2020. The increase was primarily due to the foreign rate differential on our mix of earnings by tax jurisdictions, as well as a change in the absolute pre-tax operating results when compared to the same period of the prior year. This was partially offset by lapping valuation allowances recorded against deferred tax assets of certain international jurisdictions in the prior year
(approximately 840 basis points), a current year remeasurement of deferred tax assets due to an enacted corporate rate change (approximately 510 basis points) and lapping the release of income tax reserves related to the expiration of statute of limitations in the prior year (approximately 330 basis points).</t>
        </r>
        <r>
          <rPr>
            <b/>
            <sz val="9"/>
            <color indexed="81"/>
            <rFont val="Tahoma"/>
            <family val="2"/>
          </rPr>
          <t xml:space="preserve">
Source: </t>
        </r>
        <r>
          <rPr>
            <sz val="9"/>
            <color indexed="81"/>
            <rFont val="Tahoma"/>
            <family val="2"/>
          </rPr>
          <t>F3Q2021 10-Q</t>
        </r>
      </text>
    </comment>
    <comment ref="H33" authorId="1" shapeId="0" xr:uid="{C2C387A3-4923-47BC-899D-F580A405E86E}">
      <text>
        <r>
          <rPr>
            <b/>
            <sz val="9"/>
            <color indexed="81"/>
            <rFont val="Tahoma"/>
            <family val="2"/>
          </rPr>
          <t xml:space="preserve">F3Q2019 Earnings call (7/25/2019) guidance for FY2019: </t>
        </r>
        <r>
          <rPr>
            <sz val="9"/>
            <color indexed="81"/>
            <rFont val="Tahoma"/>
            <family val="2"/>
          </rPr>
          <t>GAAP EPS in the range of $2.86 to $2.88</t>
        </r>
        <r>
          <rPr>
            <b/>
            <sz val="9"/>
            <color indexed="81"/>
            <rFont val="Tahoma"/>
            <family val="2"/>
          </rPr>
          <t xml:space="preserve">
Previous Guidance:
F2Q2019 Earnings call guidance for FY2019: </t>
        </r>
        <r>
          <rPr>
            <sz val="9"/>
            <color indexed="81"/>
            <rFont val="Tahoma"/>
            <family val="2"/>
          </rPr>
          <t xml:space="preserve">GAAP EPS in the range of $2.40 to $2.44
</t>
        </r>
        <r>
          <rPr>
            <b/>
            <sz val="9"/>
            <color indexed="81"/>
            <rFont val="Tahoma"/>
            <family val="2"/>
          </rPr>
          <t>F1Q2019 Earnings call guidance for FY2019:</t>
        </r>
        <r>
          <rPr>
            <sz val="9"/>
            <color indexed="81"/>
            <rFont val="Tahoma"/>
            <family val="2"/>
          </rPr>
          <t xml:space="preserve"> GAAP EPS in the range of $2.32 to $2.37
</t>
        </r>
      </text>
    </comment>
    <comment ref="L33" authorId="1" shapeId="0" xr:uid="{6DEEA8A7-C930-4027-8E79-9DC28E7C1B83}">
      <text>
        <r>
          <rPr>
            <b/>
            <sz val="9"/>
            <color indexed="81"/>
            <rFont val="Tahoma"/>
            <family val="2"/>
          </rPr>
          <t xml:space="preserve">Management Guidance: </t>
        </r>
        <r>
          <rPr>
            <sz val="9"/>
            <color indexed="81"/>
            <rFont val="Tahoma"/>
            <family val="2"/>
          </rPr>
          <t xml:space="preserve">GAAP EPS in the range of $0.06 to $0.21 for Q4.
</t>
        </r>
        <r>
          <rPr>
            <b/>
            <sz val="9"/>
            <color indexed="81"/>
            <rFont val="Tahoma"/>
            <family val="2"/>
          </rPr>
          <t>Source:</t>
        </r>
        <r>
          <rPr>
            <sz val="9"/>
            <color indexed="81"/>
            <rFont val="Tahoma"/>
            <family val="2"/>
          </rPr>
          <t xml:space="preserve"> F3Q2020 Press Release, July 28, 2020</t>
        </r>
      </text>
    </comment>
    <comment ref="M33" authorId="1" shapeId="0" xr:uid="{AC427072-5199-4EC0-A9D2-61D9953B8278}">
      <text>
        <r>
          <rPr>
            <b/>
            <sz val="9"/>
            <color indexed="81"/>
            <rFont val="Tahoma"/>
            <family val="2"/>
          </rPr>
          <t>Management Guidance:</t>
        </r>
        <r>
          <rPr>
            <sz val="9"/>
            <color indexed="81"/>
            <rFont val="Tahoma"/>
            <family val="2"/>
          </rPr>
          <t xml:space="preserve"> GAAP EPS in the range of $0.50 to $0.65 for full year.
</t>
        </r>
        <r>
          <rPr>
            <b/>
            <sz val="9"/>
            <color indexed="81"/>
            <rFont val="Tahoma"/>
            <family val="2"/>
          </rPr>
          <t>Source:</t>
        </r>
        <r>
          <rPr>
            <sz val="9"/>
            <color indexed="81"/>
            <rFont val="Tahoma"/>
            <family val="2"/>
          </rPr>
          <t xml:space="preserve"> F3Q2020 Press Release, July 28, 2020</t>
        </r>
      </text>
    </comment>
    <comment ref="O33" authorId="0" shapeId="0" xr:uid="{C6A28E9A-2BF6-4CC7-86FF-A80B318C2152}">
      <text>
        <r>
          <rPr>
            <b/>
            <sz val="9"/>
            <color indexed="81"/>
            <rFont val="Tahoma"/>
            <family val="2"/>
          </rPr>
          <t xml:space="preserve">Management Guidance: </t>
        </r>
        <r>
          <rPr>
            <sz val="9"/>
            <color indexed="81"/>
            <rFont val="Tahoma"/>
            <family val="2"/>
          </rPr>
          <t>GAAP EPS in the range of $0.36 to $0.41.</t>
        </r>
        <r>
          <rPr>
            <b/>
            <sz val="9"/>
            <color indexed="81"/>
            <rFont val="Tahoma"/>
            <family val="2"/>
          </rPr>
          <t xml:space="preserve">
Source: </t>
        </r>
        <r>
          <rPr>
            <sz val="9"/>
            <color indexed="81"/>
            <rFont val="Tahoma"/>
            <family val="2"/>
          </rPr>
          <t>F1Q2021 Press Release, January 26, 2021</t>
        </r>
      </text>
    </comment>
    <comment ref="R33" authorId="0" shapeId="0" xr:uid="{ADF09FB6-08B0-402A-BBDB-236793D54F89}">
      <text>
        <r>
          <rPr>
            <b/>
            <sz val="9"/>
            <color indexed="81"/>
            <rFont val="Tahoma"/>
            <family val="2"/>
          </rPr>
          <t>Management Guidance:</t>
        </r>
        <r>
          <rPr>
            <sz val="9"/>
            <color indexed="81"/>
            <rFont val="Tahoma"/>
            <family val="2"/>
          </rPr>
          <t xml:space="preserve"> GAAP EPS in the range of $2.97 to $3.02, inclusive of a $0.10 impact attributable to the 53rd week
</t>
        </r>
        <r>
          <rPr>
            <b/>
            <sz val="9"/>
            <color indexed="81"/>
            <rFont val="Tahoma"/>
            <family val="2"/>
          </rPr>
          <t>Source:</t>
        </r>
        <r>
          <rPr>
            <sz val="9"/>
            <color indexed="81"/>
            <rFont val="Tahoma"/>
            <family val="2"/>
          </rPr>
          <t xml:space="preserve"> F3Q2021 Press Release
</t>
        </r>
      </text>
    </comment>
    <comment ref="H34" authorId="1" shapeId="0" xr:uid="{154595BD-4431-4AB9-A14D-8C6D49818259}">
      <text>
        <r>
          <rPr>
            <b/>
            <sz val="9"/>
            <color indexed="81"/>
            <rFont val="Tahoma"/>
            <family val="2"/>
          </rPr>
          <t xml:space="preserve">F3Q2019 Earnings call (7/25/2019) guidance for FY2019: </t>
        </r>
        <r>
          <rPr>
            <sz val="9"/>
            <color indexed="81"/>
            <rFont val="Tahoma"/>
            <family val="2"/>
          </rPr>
          <t xml:space="preserve">Non-GAAP EPS in the range of $2.80 to $2.82 </t>
        </r>
        <r>
          <rPr>
            <b/>
            <sz val="9"/>
            <color indexed="81"/>
            <rFont val="Tahoma"/>
            <family val="2"/>
          </rPr>
          <t xml:space="preserve">
Previous Guidance:
F2Q2019 Earnings call guidance for FY2019:</t>
        </r>
        <r>
          <rPr>
            <sz val="9"/>
            <color indexed="81"/>
            <rFont val="Tahoma"/>
            <family val="2"/>
          </rPr>
          <t xml:space="preserve"> Non-GAAP EPS in the range of $2.75 to $2.79 
</t>
        </r>
        <r>
          <rPr>
            <b/>
            <sz val="9"/>
            <color indexed="81"/>
            <rFont val="Tahoma"/>
            <family val="2"/>
          </rPr>
          <t>F1Q2019 Earnings call guidance for FY2019:</t>
        </r>
        <r>
          <rPr>
            <sz val="9"/>
            <color indexed="81"/>
            <rFont val="Tahoma"/>
            <family val="2"/>
          </rPr>
          <t xml:space="preserve"> Non-GAAP EPS in the range of $2.68 to $2.73 </t>
        </r>
      </text>
    </comment>
    <comment ref="L34" authorId="1" shapeId="0" xr:uid="{A566C189-957D-4C02-9263-C339BF84988E}">
      <text>
        <r>
          <rPr>
            <b/>
            <sz val="9"/>
            <color indexed="81"/>
            <rFont val="Tahoma"/>
            <family val="2"/>
          </rPr>
          <t>Management Guidance:</t>
        </r>
        <r>
          <rPr>
            <sz val="9"/>
            <color indexed="81"/>
            <rFont val="Tahoma"/>
            <family val="2"/>
          </rPr>
          <t xml:space="preserve"> Non-GAAP EPS in the range of $0.18 to $0.33 for Q4.
</t>
        </r>
        <r>
          <rPr>
            <b/>
            <sz val="9"/>
            <color indexed="81"/>
            <rFont val="Tahoma"/>
            <family val="2"/>
          </rPr>
          <t>Source:</t>
        </r>
        <r>
          <rPr>
            <sz val="9"/>
            <color indexed="81"/>
            <rFont val="Tahoma"/>
            <family val="2"/>
          </rPr>
          <t xml:space="preserve"> F3Q2020 Press Release, July 28, 2020</t>
        </r>
      </text>
    </comment>
    <comment ref="M34" authorId="1" shapeId="0" xr:uid="{D42E38DE-FBCA-4959-977A-C9F9B71A8973}">
      <text>
        <r>
          <rPr>
            <b/>
            <sz val="9"/>
            <color indexed="81"/>
            <rFont val="Tahoma"/>
            <family val="2"/>
          </rPr>
          <t xml:space="preserve">Management Guidance: </t>
        </r>
        <r>
          <rPr>
            <sz val="9"/>
            <color indexed="81"/>
            <rFont val="Tahoma"/>
            <family val="2"/>
          </rPr>
          <t xml:space="preserve">Non-GAAP EPS in the range of $0.83 to $0.93 for full year.
</t>
        </r>
        <r>
          <rPr>
            <b/>
            <sz val="9"/>
            <color indexed="81"/>
            <rFont val="Tahoma"/>
            <family val="2"/>
          </rPr>
          <t xml:space="preserve">Source: </t>
        </r>
        <r>
          <rPr>
            <sz val="9"/>
            <color indexed="81"/>
            <rFont val="Tahoma"/>
            <family val="2"/>
          </rPr>
          <t xml:space="preserve">F3Q2020 Press Release, July 28, 2020
</t>
        </r>
        <r>
          <rPr>
            <b/>
            <sz val="9"/>
            <color indexed="81"/>
            <rFont val="Tahoma"/>
            <family val="2"/>
          </rPr>
          <t>Primary Output:</t>
        </r>
        <r>
          <rPr>
            <sz val="9"/>
            <color indexed="81"/>
            <rFont val="Tahoma"/>
            <family val="2"/>
          </rPr>
          <t xml:space="preserve"> After you adjust the Primary Inputs in the model below, your new earnings forecast will recalculate based on the new assumptions resulting in a new EPS estimate, and theoretical target share price band.</t>
        </r>
      </text>
    </comment>
    <comment ref="O34" authorId="0" shapeId="0" xr:uid="{4E840D5A-09F0-46EF-807F-8C571E18F7D3}">
      <text>
        <r>
          <rPr>
            <b/>
            <sz val="9"/>
            <color indexed="81"/>
            <rFont val="Tahoma"/>
            <family val="2"/>
          </rPr>
          <t xml:space="preserve">Management Guidance: </t>
        </r>
        <r>
          <rPr>
            <sz val="9"/>
            <color indexed="81"/>
            <rFont val="Tahoma"/>
            <family val="2"/>
          </rPr>
          <t xml:space="preserve">GAAP EPS in the range of $0.45 to $0.50.
</t>
        </r>
        <r>
          <rPr>
            <b/>
            <sz val="9"/>
            <color indexed="81"/>
            <rFont val="Tahoma"/>
            <family val="2"/>
          </rPr>
          <t xml:space="preserve">Source: </t>
        </r>
        <r>
          <rPr>
            <sz val="9"/>
            <color indexed="81"/>
            <rFont val="Tahoma"/>
            <family val="2"/>
          </rPr>
          <t>F1Q2021 Press Release, January 26, 2021</t>
        </r>
      </text>
    </comment>
    <comment ref="R34" authorId="0" shapeId="0" xr:uid="{45EFC18F-0508-423F-BE1F-4E8F984485EB}">
      <text>
        <r>
          <rPr>
            <b/>
            <sz val="9"/>
            <color indexed="81"/>
            <rFont val="Tahoma"/>
            <family val="2"/>
          </rPr>
          <t xml:space="preserve">Management Guidance: </t>
        </r>
        <r>
          <rPr>
            <sz val="9"/>
            <color indexed="81"/>
            <rFont val="Tahoma"/>
            <family val="2"/>
          </rPr>
          <t>Non-GAAP EPS in the range of $3.20 to $3.25, inclusive of a $0.10 impact attributable to the 53rd week.</t>
        </r>
        <r>
          <rPr>
            <b/>
            <sz val="9"/>
            <color indexed="81"/>
            <rFont val="Tahoma"/>
            <family val="2"/>
          </rPr>
          <t xml:space="preserve">
Source: </t>
        </r>
        <r>
          <rPr>
            <sz val="9"/>
            <color indexed="81"/>
            <rFont val="Tahoma"/>
            <family val="2"/>
          </rPr>
          <t>F3Q2021 Press Release</t>
        </r>
      </text>
    </comment>
    <comment ref="V34" authorId="0" shapeId="0" xr:uid="{88D94265-4CEC-48F0-806D-78A00D85B6B8}">
      <text>
        <r>
          <rPr>
            <b/>
            <sz val="9"/>
            <color indexed="81"/>
            <rFont val="Tahoma"/>
            <family val="2"/>
          </rPr>
          <t xml:space="preserve">Guidance: </t>
        </r>
        <r>
          <rPr>
            <sz val="9"/>
            <color indexed="81"/>
            <rFont val="Tahoma"/>
            <family val="2"/>
          </rPr>
          <t xml:space="preserve">"We now expect our Q4 margin and EPS to be lower than Q3 with greater year-over-year pressures primarily due to three reasons. First, the start of mobility recovery in China was later than expected, impacting the pace of recovery previously assumed in Q4. Second, our Q3 performance benefited from approximately $0.05 of non-reoccurring benefits including release of a customs duty accrual, tax credit, government subsidies, and other items which we do not expect to continue in Q4. And third, as previously announced, Q4 will be impacted by a sequential step-up in our investments, as well as our typical seasonality."
</t>
        </r>
        <r>
          <rPr>
            <b/>
            <sz val="9"/>
            <color indexed="81"/>
            <rFont val="Tahoma"/>
            <family val="2"/>
          </rPr>
          <t xml:space="preserve">Source: </t>
        </r>
        <r>
          <rPr>
            <sz val="9"/>
            <color indexed="81"/>
            <rFont val="Tahoma"/>
            <family val="2"/>
          </rPr>
          <t>Investor Day 9/16/2022</t>
        </r>
      </text>
    </comment>
    <comment ref="AL34" authorId="0" shapeId="0" xr:uid="{95E7B580-42FA-414E-880C-C4CC1F0DE87D}">
      <text>
        <r>
          <rPr>
            <b/>
            <sz val="9"/>
            <color indexed="81"/>
            <rFont val="Tahoma"/>
            <family val="2"/>
          </rPr>
          <t>Guidance:</t>
        </r>
        <r>
          <rPr>
            <sz val="9"/>
            <color indexed="81"/>
            <rFont val="Tahoma"/>
            <family val="2"/>
          </rPr>
          <t xml:space="preserve"> Management guided annual EPS growth between 15% to 20%. 
</t>
        </r>
        <r>
          <rPr>
            <b/>
            <sz val="9"/>
            <color indexed="81"/>
            <rFont val="Tahoma"/>
            <family val="2"/>
          </rPr>
          <t xml:space="preserve">Source: Investor Day 9/16/2022
</t>
        </r>
        <r>
          <rPr>
            <sz val="9"/>
            <color indexed="81"/>
            <rFont val="Tahoma"/>
            <family val="2"/>
          </rPr>
          <t xml:space="preserve">
Assuming 2022 EPS of $2.88 CAGR of 15% to 20% equates to a 2025 EPS range of $4.38 to $4.98.
</t>
        </r>
      </text>
    </comment>
    <comment ref="L35" authorId="1" shapeId="0" xr:uid="{BF7BC5B1-9019-4DAC-827A-892DE5EDCF6A}">
      <text>
        <r>
          <rPr>
            <b/>
            <sz val="9"/>
            <color indexed="81"/>
            <rFont val="Tahoma"/>
            <family val="2"/>
          </rPr>
          <t>Note:</t>
        </r>
        <r>
          <rPr>
            <sz val="9"/>
            <color indexed="81"/>
            <rFont val="Tahoma"/>
            <family val="2"/>
          </rPr>
          <t xml:space="preserve"> Management increased the dividend by 14% last year. This year I have entered a 7% increase (half of 14%). If you believe the dividend growth rate will be lower or higher, enter your assumption here.
</t>
        </r>
      </text>
    </comment>
    <comment ref="AL36" authorId="0" shapeId="0" xr:uid="{EA15FABF-76D6-4FDD-9735-95A64A96F41C}">
      <text>
        <r>
          <rPr>
            <sz val="9"/>
            <color indexed="81"/>
            <rFont val="Tahoma"/>
            <family val="2"/>
          </rPr>
          <t>Guidance: Management guided dividend payout rate to 50%, approximate dividend yield of 2%, share repurchase impact on EPS 1% (net of incremental interest), adjusted debt-to-EBITDA of 3x, capex of $2.5B to $3.0B, and total return to shareholders of ~$20B. 
Source: Investor Day 9/16/2022
Note: This base-case version of the model attempts to meet the midpoint of the implied range on EPS, and balance the impact of the above items. As a result the exact targets on the long-term goals above goals do not match the guidance exactly. As management discloses additional forecast details in fiscal 2023, these estimates should be adjusted.</t>
        </r>
      </text>
    </comment>
    <comment ref="B40" authorId="0" shapeId="0" xr:uid="{5BE65310-F8BE-4C56-87AB-4E863B6DAE26}">
      <text>
        <r>
          <rPr>
            <sz val="9"/>
            <color indexed="81"/>
            <rFont val="Tahoma"/>
            <family val="2"/>
          </rPr>
          <t xml:space="preserve">In F4Q2021 management re-segmented the Latin America stores to the International Segment, and renamed the Americas Segment "Nor America". F4Q2020 and F4Q2021 have been adjusted to reflect the change. 
</t>
        </r>
      </text>
    </comment>
    <comment ref="Q42" authorId="0" shapeId="0" xr:uid="{0E2733A7-7C6D-4455-B03F-28D4D900AC98}">
      <text>
        <r>
          <rPr>
            <b/>
            <sz val="9"/>
            <color indexed="81"/>
            <rFont val="Tahoma"/>
            <family val="2"/>
          </rPr>
          <t>Primary Input:</t>
        </r>
        <r>
          <rPr>
            <sz val="9"/>
            <color indexed="81"/>
            <rFont val="Tahoma"/>
            <family val="2"/>
          </rPr>
          <t xml:space="preserve"> If you believe the macroeconomic and competitive landscape  will result in a favorable conditions for the company, consider increaseing the number of new stores over time, for each region. If not decrease the store count. </t>
        </r>
      </text>
    </comment>
    <comment ref="N45" authorId="0" shapeId="0" xr:uid="{D231A052-7CF8-4DE9-86A4-FCBD44C82C4C}">
      <text>
        <r>
          <rPr>
            <b/>
            <sz val="9"/>
            <color indexed="81"/>
            <rFont val="Tahoma"/>
            <family val="2"/>
          </rPr>
          <t>-----------Review of Historic Results------------MD&amp;A Comment:</t>
        </r>
        <r>
          <rPr>
            <sz val="9"/>
            <color indexed="81"/>
            <rFont val="Tahoma"/>
            <family val="2"/>
          </rPr>
          <t xml:space="preserve"> Americas total net revenues for the first quarter of fiscal 2021 decreased $308 million, or 6%, primarily due to a 6% decrease in comparable store sales ($242 million) driven by a 21% decrease in transactions, partially offset by a 20% increase in average ticket. These declines were slightly offset by the opening of new company-operated stores ($62 million).
</t>
        </r>
        <r>
          <rPr>
            <b/>
            <sz val="9"/>
            <color indexed="81"/>
            <rFont val="Tahoma"/>
            <family val="2"/>
          </rPr>
          <t>Source:</t>
        </r>
        <r>
          <rPr>
            <sz val="9"/>
            <color indexed="81"/>
            <rFont val="Tahoma"/>
            <family val="2"/>
          </rPr>
          <t xml:space="preserve"> F1Q2021 10-Q
</t>
        </r>
      </text>
    </comment>
    <comment ref="P45" authorId="0" shapeId="0" xr:uid="{BED616A1-E448-4D42-9B2A-7AE9504C6031}">
      <text>
        <r>
          <rPr>
            <b/>
            <sz val="9"/>
            <color indexed="81"/>
            <rFont val="Tahoma"/>
            <family val="2"/>
          </rPr>
          <t xml:space="preserve">-----------Review of Historic Results--------
MD&amp;A Comment: </t>
        </r>
        <r>
          <rPr>
            <sz val="9"/>
            <color indexed="81"/>
            <rFont val="Tahoma"/>
            <family val="2"/>
          </rPr>
          <t>Americas total net revenues for the third quarter of fiscal 2021 increased $2.6 billion, or 92%, primarily due to an 84% increase in comparable store sales ($2.1 billion) driven by an 82% increase in transactions and a 1% increase in average ticket, and the opening of new company-operated stores ($172 million). Also contributing to these increases were higher product and equipment sales to and royalty revenues from our licensees ($231 million), primarily due to lapping the severe impact of the COVID-19 pandemic in the prior year, and favorable foreign currency translation ($39 million).</t>
        </r>
        <r>
          <rPr>
            <b/>
            <sz val="9"/>
            <color indexed="81"/>
            <rFont val="Tahoma"/>
            <family val="2"/>
          </rPr>
          <t xml:space="preserve">
Source: </t>
        </r>
        <r>
          <rPr>
            <sz val="9"/>
            <color indexed="81"/>
            <rFont val="Tahoma"/>
            <family val="2"/>
          </rPr>
          <t>F3Q2021 10-Q</t>
        </r>
      </text>
    </comment>
    <comment ref="L49" authorId="1" shapeId="0" xr:uid="{BA14AE02-3979-4508-9925-DCAA5ADA4390}">
      <text>
        <r>
          <rPr>
            <b/>
            <sz val="9"/>
            <color indexed="81"/>
            <rFont val="Tahoma"/>
            <family val="2"/>
          </rPr>
          <t xml:space="preserve">Primary Input: </t>
        </r>
        <r>
          <rPr>
            <sz val="9"/>
            <color indexed="81"/>
            <rFont val="Tahoma"/>
            <family val="2"/>
          </rPr>
          <t xml:space="preserve">If you believe the SBUX product offerings, macroeconomic and competitive conditions  will benefit the company, increase the Comp Store Sales rate. If not, decrease the rate.
</t>
        </r>
        <r>
          <rPr>
            <b/>
            <sz val="9"/>
            <color indexed="81"/>
            <rFont val="Tahoma"/>
            <family val="2"/>
          </rPr>
          <t xml:space="preserve">
Management Guidance:</t>
        </r>
        <r>
          <rPr>
            <sz val="9"/>
            <color indexed="81"/>
            <rFont val="Tahoma"/>
            <family val="2"/>
          </rPr>
          <t xml:space="preserve"> Americas and U.S. comparable store sales declines of 12% to 17% for each of Q4 and full year.  (previously declines of 10% to 20% for each of Q4 and full year).
</t>
        </r>
        <r>
          <rPr>
            <b/>
            <sz val="9"/>
            <color indexed="81"/>
            <rFont val="Tahoma"/>
            <family val="2"/>
          </rPr>
          <t>Source:</t>
        </r>
        <r>
          <rPr>
            <sz val="9"/>
            <color indexed="81"/>
            <rFont val="Tahoma"/>
            <family val="2"/>
          </rPr>
          <t xml:space="preserve"> F3Q2020 Press Release, July 28, 2020</t>
        </r>
      </text>
    </comment>
    <comment ref="Q49" authorId="0" shapeId="0" xr:uid="{511D3A20-BCAD-4D38-BCCB-C4D27247F742}">
      <text>
        <r>
          <rPr>
            <b/>
            <sz val="9"/>
            <color indexed="81"/>
            <rFont val="Tahoma"/>
            <family val="2"/>
          </rPr>
          <t>Primary Input:</t>
        </r>
        <r>
          <rPr>
            <sz val="9"/>
            <color indexed="81"/>
            <rFont val="Tahoma"/>
            <family val="2"/>
          </rPr>
          <t xml:space="preserve"> If you believe the SBUX product offerings, macroeconomic and competitive conditions  will benefit the company, increase the Comp Store Sales rate. If not, decrease the rate.
</t>
        </r>
        <r>
          <rPr>
            <b/>
            <sz val="9"/>
            <color indexed="81"/>
            <rFont val="Tahoma"/>
            <family val="2"/>
          </rPr>
          <t>Management Guidance:</t>
        </r>
        <r>
          <rPr>
            <sz val="9"/>
            <color indexed="81"/>
            <rFont val="Tahoma"/>
            <family val="2"/>
          </rPr>
          <t xml:space="preserve"> 22% to 25%
</t>
        </r>
        <r>
          <rPr>
            <b/>
            <sz val="9"/>
            <color indexed="81"/>
            <rFont val="Tahoma"/>
            <family val="2"/>
          </rPr>
          <t xml:space="preserve">Source: </t>
        </r>
        <r>
          <rPr>
            <sz val="9"/>
            <color indexed="81"/>
            <rFont val="Tahoma"/>
            <family val="2"/>
          </rPr>
          <t>F3Q2021 Press Release</t>
        </r>
      </text>
    </comment>
    <comment ref="N54" authorId="0" shapeId="0" xr:uid="{04F1E402-EF0E-42C9-B684-EF0289A8FAC3}">
      <text>
        <r>
          <rPr>
            <b/>
            <sz val="9"/>
            <color indexed="81"/>
            <rFont val="Tahoma"/>
            <family val="2"/>
          </rPr>
          <t xml:space="preserve">-----------Review of Historic Results------------MD&amp;A Comment: </t>
        </r>
        <r>
          <rPr>
            <sz val="9"/>
            <color indexed="81"/>
            <rFont val="Tahoma"/>
            <family val="2"/>
          </rPr>
          <t>Licensed stores revenues declined by $121.1 million, primarily due to lower product and equipment sales to and royalty revenues from our licensees.</t>
        </r>
        <r>
          <rPr>
            <b/>
            <sz val="9"/>
            <color indexed="81"/>
            <rFont val="Tahoma"/>
            <family val="2"/>
          </rPr>
          <t xml:space="preserve">
Source: </t>
        </r>
        <r>
          <rPr>
            <sz val="9"/>
            <color indexed="81"/>
            <rFont val="Tahoma"/>
            <family val="2"/>
          </rPr>
          <t>F1Q2021 10-Q</t>
        </r>
      </text>
    </comment>
    <comment ref="H58" authorId="1" shapeId="0" xr:uid="{5CA4B7B0-EB99-4281-B99C-176567519924}">
      <text>
        <r>
          <rPr>
            <b/>
            <sz val="9"/>
            <color indexed="81"/>
            <rFont val="Tahoma"/>
            <family val="2"/>
          </rPr>
          <t>3Q2019 Earnings call (7/25/2019) guidance for FY2019:</t>
        </r>
        <r>
          <rPr>
            <sz val="9"/>
            <color indexed="81"/>
            <rFont val="Tahoma"/>
            <family val="2"/>
          </rPr>
          <t xml:space="preserve"> ~2,000 net new Starbucks stores globally
Americas over 600
CAP ~1,100 (nearly 600 in China)
</t>
        </r>
        <r>
          <rPr>
            <u/>
            <sz val="9"/>
            <color indexed="81"/>
            <rFont val="Tahoma"/>
            <family val="2"/>
          </rPr>
          <t>EMEA ~300</t>
        </r>
        <r>
          <rPr>
            <sz val="9"/>
            <color indexed="81"/>
            <rFont val="Tahoma"/>
            <family val="2"/>
          </rPr>
          <t xml:space="preserve"> (virtually all license)</t>
        </r>
        <r>
          <rPr>
            <b/>
            <sz val="9"/>
            <color indexed="81"/>
            <rFont val="Tahoma"/>
            <family val="2"/>
          </rPr>
          <t xml:space="preserve">
Previous Guidance:
2Q2019 Earnings call guidance for FY2019: </t>
        </r>
        <r>
          <rPr>
            <sz val="9"/>
            <color indexed="81"/>
            <rFont val="Tahoma"/>
            <family val="2"/>
          </rPr>
          <t>~2,100 net new Starbucks stores globally
Americas over 600
CAP ~1,100 (nearly 600 in China)
EMEA ~400 (virtually all license)</t>
        </r>
      </text>
    </comment>
    <comment ref="M58" authorId="1" shapeId="0" xr:uid="{DF28B33A-AD36-422F-ACAF-18B236AEBEDE}">
      <text>
        <r>
          <rPr>
            <sz val="9"/>
            <color indexed="81"/>
            <rFont val="Tahoma"/>
            <family val="2"/>
          </rPr>
          <t>M</t>
        </r>
        <r>
          <rPr>
            <b/>
            <sz val="9"/>
            <color indexed="81"/>
            <rFont val="Tahoma"/>
            <family val="2"/>
          </rPr>
          <t>anagement Gudiance:</t>
        </r>
        <r>
          <rPr>
            <sz val="9"/>
            <color indexed="81"/>
            <rFont val="Tahoma"/>
            <family val="2"/>
          </rPr>
          <t xml:space="preserve"> Americas approximately 300 net new stores
</t>
        </r>
        <r>
          <rPr>
            <b/>
            <sz val="9"/>
            <color indexed="81"/>
            <rFont val="Tahoma"/>
            <family val="2"/>
          </rPr>
          <t xml:space="preserve">Source: </t>
        </r>
        <r>
          <rPr>
            <sz val="9"/>
            <color indexed="81"/>
            <rFont val="Tahoma"/>
            <family val="2"/>
          </rPr>
          <t>F3Q2020 Press Release, July 28, 2020</t>
        </r>
      </text>
    </comment>
    <comment ref="R58" authorId="0" shapeId="0" xr:uid="{F839E160-003B-4D5B-B8E8-89BC34623438}">
      <text>
        <r>
          <rPr>
            <b/>
            <sz val="9"/>
            <color indexed="81"/>
            <rFont val="Tahoma"/>
            <family val="2"/>
          </rPr>
          <t xml:space="preserve">Management Guidance: </t>
        </r>
        <r>
          <rPr>
            <sz val="9"/>
            <color indexed="81"/>
            <rFont val="Tahoma"/>
            <family val="2"/>
          </rPr>
          <t xml:space="preserve">Approximately flat
</t>
        </r>
        <r>
          <rPr>
            <b/>
            <sz val="9"/>
            <color indexed="81"/>
            <rFont val="Tahoma"/>
            <family val="2"/>
          </rPr>
          <t>Source:</t>
        </r>
        <r>
          <rPr>
            <sz val="9"/>
            <color indexed="81"/>
            <rFont val="Tahoma"/>
            <family val="2"/>
          </rPr>
          <t xml:space="preserve"> F3Q2021 Press Release</t>
        </r>
      </text>
    </comment>
    <comment ref="H72" authorId="1" shapeId="0" xr:uid="{73C91A52-9169-44FE-897B-2AEDBCB63342}">
      <text>
        <r>
          <rPr>
            <b/>
            <sz val="9"/>
            <color indexed="81"/>
            <rFont val="Tahoma"/>
            <family val="2"/>
          </rPr>
          <t xml:space="preserve">F3Q2019 Earnings call (7/25/2019) guidance for FY2019:
</t>
        </r>
        <r>
          <rPr>
            <sz val="9"/>
            <color indexed="81"/>
            <rFont val="Tahoma"/>
            <family val="2"/>
          </rPr>
          <t xml:space="preserve">Consolidated operating margin down moderately
&gt;Americas operating margin up slightly
&gt;CAP operating margin roughly flat
&gt;EMEA operating margin improving over the course of 2019
&gt;Channel Development operating margin mid-30% range
</t>
        </r>
        <r>
          <rPr>
            <b/>
            <sz val="9"/>
            <color indexed="81"/>
            <rFont val="Tahoma"/>
            <family val="2"/>
          </rPr>
          <t xml:space="preserve">
Past Guidance:
F2Q2019 Earnings call guidance for FY2019:
</t>
        </r>
        <r>
          <rPr>
            <sz val="9"/>
            <color indexed="81"/>
            <rFont val="Tahoma"/>
            <family val="2"/>
          </rPr>
          <t xml:space="preserve">Consolidated operating margin down moderately
&gt;Americas operating margin </t>
        </r>
        <r>
          <rPr>
            <u/>
            <sz val="9"/>
            <color indexed="81"/>
            <rFont val="Tahoma"/>
            <family val="2"/>
          </rPr>
          <t>up</t>
        </r>
        <r>
          <rPr>
            <sz val="9"/>
            <color indexed="81"/>
            <rFont val="Tahoma"/>
            <family val="2"/>
          </rPr>
          <t xml:space="preserve"> slightly
&gt;CAP operating margin roughly flat
&gt;EMEA operating margin improving over the course of 2019
&gt;Channel Development operating margin </t>
        </r>
        <r>
          <rPr>
            <u/>
            <sz val="9"/>
            <color indexed="81"/>
            <rFont val="Tahoma"/>
            <family val="2"/>
          </rPr>
          <t>mid-30%</t>
        </r>
        <r>
          <rPr>
            <sz val="9"/>
            <color indexed="81"/>
            <rFont val="Tahoma"/>
            <family val="2"/>
          </rPr>
          <t xml:space="preserve"> range</t>
        </r>
        <r>
          <rPr>
            <b/>
            <sz val="9"/>
            <color indexed="81"/>
            <rFont val="Tahoma"/>
            <family val="2"/>
          </rPr>
          <t xml:space="preserve">
F1Q2019 Earnings call guidance for FY2019:
</t>
        </r>
        <r>
          <rPr>
            <sz val="9"/>
            <color indexed="81"/>
            <rFont val="Tahoma"/>
            <family val="2"/>
          </rPr>
          <t>Consolidated operating margin down moderately
&gt;Americas operating margin down slightly
&gt;CAP operating margin roughly flat
&gt;EMEA operating margin improving over the course of 2019
&gt;Channel Development operating margin high 30% range</t>
        </r>
      </text>
    </comment>
    <comment ref="N72" authorId="0" shapeId="0" xr:uid="{2DE70375-7909-4A0F-8388-F300F05FA5C9}">
      <text>
        <r>
          <rPr>
            <b/>
            <sz val="9"/>
            <color indexed="81"/>
            <rFont val="Tahoma"/>
            <family val="2"/>
          </rPr>
          <t xml:space="preserve">-----------Review of Historic Results------------
MD&amp;A Comment: </t>
        </r>
        <r>
          <rPr>
            <sz val="9"/>
            <color indexed="81"/>
            <rFont val="Tahoma"/>
            <family val="2"/>
          </rPr>
          <t xml:space="preserve">Americas operating income for the first quarter of fiscal 2021 decreased 26% to $814 million, compared to $1.1 billion in the first quarter of fiscal 2020. Operating margin decreased 460 basis points to 17.3%, primarily due to sales deleverage attributed to COVID-19 impacts. In addition, we also incurred additional costs, primarily catastrophe pay programs for retail store partners incurred, net of benefits provided by the CARES Act and CEWS (approximately 40 basis points), and growth in wages and benefits (approximately 200 basis points). Higher restructuring expenses relating to our Americas portfolio optimization (approximately 140 basis points) also contributed to the decrease. Partially offsetting these decreases were improved labor efficiencies (approximately 260 basis points) and pricing (approximately 110 basis points).
</t>
        </r>
        <r>
          <rPr>
            <b/>
            <sz val="9"/>
            <color indexed="81"/>
            <rFont val="Tahoma"/>
            <family val="2"/>
          </rPr>
          <t xml:space="preserve">Source: </t>
        </r>
        <r>
          <rPr>
            <sz val="9"/>
            <color indexed="81"/>
            <rFont val="Tahoma"/>
            <family val="2"/>
          </rPr>
          <t>F1Q2021 10-Q</t>
        </r>
      </text>
    </comment>
    <comment ref="O72" authorId="1" shapeId="0" xr:uid="{D205546F-D29C-465F-A05B-5A174E3E364B}">
      <text>
        <r>
          <rPr>
            <b/>
            <sz val="9"/>
            <color indexed="81"/>
            <rFont val="Tahoma"/>
            <family val="2"/>
          </rPr>
          <t xml:space="preserve">Comment from F3Q2020 Earnings Call: </t>
        </r>
        <r>
          <rPr>
            <sz val="9"/>
            <color indexed="81"/>
            <rFont val="Tahoma"/>
            <family val="2"/>
          </rPr>
          <t>"We anticipate that comparable store sales will substantially recover in China and the US in fiscal 2021 by the end of our first and second quarters, respectively. Additionally, we expect that margin recovery for each business will trail sales recovery by about two quarters."</t>
        </r>
      </text>
    </comment>
    <comment ref="P72" authorId="0" shapeId="0" xr:uid="{DE3BDDF8-7560-4B19-9994-3E973CC32463}">
      <text>
        <r>
          <rPr>
            <b/>
            <sz val="9"/>
            <color indexed="81"/>
            <rFont val="Tahoma"/>
            <family val="2"/>
          </rPr>
          <t>-----------Review of Historic Results--------
MD&amp;A Comment:</t>
        </r>
        <r>
          <rPr>
            <sz val="9"/>
            <color indexed="81"/>
            <rFont val="Tahoma"/>
            <family val="2"/>
          </rPr>
          <t xml:space="preserve"> Americas operating income for the third quarter of fiscal 2021 was $1.3 billion, compared to a loss of $405 million in the third quarter of fiscal 2020. Operating margin increased 3,880 basis points to 24.4%, primarily due to sales leverage from business recovery and lapping higher COVID-19 related costs in the prior year, mainly catastrophe and service pay for store partners, net of temporary subsidies provided by the CARES Act and CEWS (approximately 930 basis points). Also contributing to the margin improvements were lower restructuring expenses (approximately 160 basis points), pricing (approximately 150 basis points) and benefits from the closure of lower-performing stores (approximately 80 basis points). These increases were partially offset by additional investments in retail store partners wages and benefits (approximately 110 basis points) and increased supply chain costs attributed to inflation (approximately 70 basis points).</t>
        </r>
        <r>
          <rPr>
            <b/>
            <sz val="9"/>
            <color indexed="81"/>
            <rFont val="Tahoma"/>
            <family val="2"/>
          </rPr>
          <t xml:space="preserve">
Source: </t>
        </r>
        <r>
          <rPr>
            <sz val="9"/>
            <color indexed="81"/>
            <rFont val="Tahoma"/>
            <family val="2"/>
          </rPr>
          <t>F3Q2021 10-Q</t>
        </r>
      </text>
    </comment>
    <comment ref="F75" authorId="1" shapeId="0" xr:uid="{BD5DA2D8-5672-4693-B276-0C646153377D}">
      <text>
        <r>
          <rPr>
            <b/>
            <sz val="9"/>
            <color indexed="81"/>
            <rFont val="Tahoma"/>
            <family val="2"/>
          </rPr>
          <t xml:space="preserve">Primary Input: </t>
        </r>
        <r>
          <rPr>
            <sz val="9"/>
            <color indexed="81"/>
            <rFont val="Tahoma"/>
            <family val="2"/>
          </rPr>
          <t>Similar comment as with the Americas Region above.</t>
        </r>
        <r>
          <rPr>
            <b/>
            <sz val="9"/>
            <color indexed="81"/>
            <rFont val="Tahoma"/>
            <family val="2"/>
          </rPr>
          <t xml:space="preserve">
</t>
        </r>
      </text>
    </comment>
    <comment ref="N78" authorId="0" shapeId="0" xr:uid="{2987A97C-7544-45CD-B21C-9BD9FB0F1891}">
      <text>
        <r>
          <rPr>
            <b/>
            <sz val="9"/>
            <color indexed="81"/>
            <rFont val="Tahoma"/>
            <family val="2"/>
          </rPr>
          <t xml:space="preserve">-----------Review of Historic Results------------MD&amp;A Comment: </t>
        </r>
        <r>
          <rPr>
            <sz val="9"/>
            <color indexed="81"/>
            <rFont val="Tahoma"/>
            <family val="2"/>
          </rPr>
          <t>International total net revenues for the first quarter of fiscal 2021 increased $83 million, or 5%. Company-operated store revenues increased $132 million, primarily driven by 658 net new Starbucks company-operated stores, or an 11% increase, over the past 12 months ($108 million) and favorable foreign currency translation ($71 million). These were partially offset by a 3% decline in comparable store sales ($37 million), driven by a 10% decrease in transactions, partially offset by an 8% increase in average ticket.</t>
        </r>
        <r>
          <rPr>
            <b/>
            <sz val="9"/>
            <color indexed="81"/>
            <rFont val="Tahoma"/>
            <family val="2"/>
          </rPr>
          <t xml:space="preserve">
Source: </t>
        </r>
        <r>
          <rPr>
            <sz val="9"/>
            <color indexed="81"/>
            <rFont val="Tahoma"/>
            <family val="2"/>
          </rPr>
          <t>F1Q2021 10-Q</t>
        </r>
      </text>
    </comment>
    <comment ref="P78" authorId="0" shapeId="0" xr:uid="{620781FB-AEC9-4FBD-A68B-8F4D077D028C}">
      <text>
        <r>
          <rPr>
            <b/>
            <sz val="9"/>
            <color indexed="81"/>
            <rFont val="Tahoma"/>
            <family val="2"/>
          </rPr>
          <t xml:space="preserve">-----------Review of Historic Results--------
MD&amp;A Comment: </t>
        </r>
        <r>
          <rPr>
            <sz val="9"/>
            <color indexed="81"/>
            <rFont val="Tahoma"/>
            <family val="2"/>
          </rPr>
          <t>International total net revenues for the third quarter of fiscal 2021 increased $709 million, or 75%. Company-operated store revenues increased $558 million, primarily due to a 41% increase in comparable store sales ($373 million), driven by a 55% increase in transactions, partially offset by a 9% decrease in average ticket. Additionally there were 761 net new stores, a 12% increase, over the past 12 months ($96 million). Also contributing to the increase in net revenues were
higher product and equipment sales to and royalty revenues from our licensees ($135 million) and favorable foreign currency translation ($94 million)</t>
        </r>
        <r>
          <rPr>
            <b/>
            <sz val="9"/>
            <color indexed="81"/>
            <rFont val="Tahoma"/>
            <family val="2"/>
          </rPr>
          <t xml:space="preserve">
Source: </t>
        </r>
        <r>
          <rPr>
            <sz val="9"/>
            <color indexed="81"/>
            <rFont val="Tahoma"/>
            <family val="2"/>
          </rPr>
          <t>F3Q2021 10-Q</t>
        </r>
      </text>
    </comment>
    <comment ref="F82" authorId="1" shapeId="0" xr:uid="{A66FC5B3-09B0-4B24-B46F-795ECF80F7FC}">
      <text>
        <r>
          <rPr>
            <b/>
            <sz val="9"/>
            <color indexed="81"/>
            <rFont val="Tahoma"/>
            <family val="2"/>
          </rPr>
          <t xml:space="preserve">Primary Input: </t>
        </r>
        <r>
          <rPr>
            <sz val="9"/>
            <color indexed="81"/>
            <rFont val="Tahoma"/>
            <family val="2"/>
          </rPr>
          <t>Similar comment as with the Americas Region above (also remember that U.S. Dollar strength is a headwind for SBUX).</t>
        </r>
      </text>
    </comment>
    <comment ref="L82" authorId="1" shapeId="0" xr:uid="{E4DB7D9F-BD95-4ED9-B85B-9FC0C6574E9D}">
      <text>
        <r>
          <rPr>
            <b/>
            <sz val="9"/>
            <color indexed="81"/>
            <rFont val="Tahoma"/>
            <family val="2"/>
          </rPr>
          <t>Primary Input:</t>
        </r>
        <r>
          <rPr>
            <sz val="9"/>
            <color indexed="81"/>
            <rFont val="Tahoma"/>
            <family val="2"/>
          </rPr>
          <t xml:space="preserve"> If you believe the SBUX product offerings, macroeconomic and competitive conditions  will benefit the company, increase the Comp Store Sales rate. If not, decrease the rate.
</t>
        </r>
        <r>
          <rPr>
            <b/>
            <sz val="9"/>
            <color indexed="81"/>
            <rFont val="Tahoma"/>
            <family val="2"/>
          </rPr>
          <t xml:space="preserve">Management Guidance: </t>
        </r>
        <r>
          <rPr>
            <sz val="9"/>
            <color indexed="81"/>
            <rFont val="Tahoma"/>
            <family val="2"/>
          </rPr>
          <t xml:space="preserve">International comparable store sales declines of 10% to 15% for Q4 and 20% to 25% for full year inclusive of a benefit from value-added tax exemption of approximately 3% and 1%, respectively  (previously declines of 10% to 20% for Q4 and 20% to 30% for full year).
</t>
        </r>
        <r>
          <rPr>
            <b/>
            <sz val="9"/>
            <color indexed="81"/>
            <rFont val="Tahoma"/>
            <family val="2"/>
          </rPr>
          <t xml:space="preserve">Source: </t>
        </r>
        <r>
          <rPr>
            <sz val="9"/>
            <color indexed="81"/>
            <rFont val="Tahoma"/>
            <family val="2"/>
          </rPr>
          <t xml:space="preserve">F3Q2020 Press Release, July 28, 2020
</t>
        </r>
        <r>
          <rPr>
            <b/>
            <sz val="9"/>
            <color indexed="81"/>
            <rFont val="Tahoma"/>
            <family val="2"/>
          </rPr>
          <t xml:space="preserve">Comment from F3Q2020 Earnings Call: </t>
        </r>
        <r>
          <rPr>
            <sz val="9"/>
            <color indexed="81"/>
            <rFont val="Tahoma"/>
            <family val="2"/>
          </rPr>
          <t xml:space="preserve">"Moving on to our International segment, with the expectation of COVID-19 impacts continuing to ease in the fourth quarter, particularly in Japan, we now expect International's comparable store sales to decline between 10% and 15% in Q4, including a 3% favorable VAT impact. For China specifically, we expect Q4 comparable store sales to range between flat and minus 5%.
Although this is generally in line with our previous guidance and now reflects both a new tailwind and a new headwind, the new tailwind is the temporary VAT exemption which I mentioned earlier, benefiting China's fourth quarter comp sales growth by about 4 percentage points. The new headwind is a combination of factors. First, COVID-related emergency response measures in Beijing where Starbucks currently has over 360 locations. And second, a prolonged slowdown in international and domestic travel, impacting Starbucks locations at China's airports and tourist venues. We expect the VAT exemption will expire at the end of December"
</t>
        </r>
      </text>
    </comment>
    <comment ref="Q82" authorId="0" shapeId="0" xr:uid="{7BBCDE31-DD94-4426-81DB-EAA997C23525}">
      <text>
        <r>
          <rPr>
            <b/>
            <sz val="9"/>
            <color indexed="81"/>
            <rFont val="Tahoma"/>
            <family val="2"/>
          </rPr>
          <t>Primary Input:</t>
        </r>
        <r>
          <rPr>
            <sz val="9"/>
            <color indexed="81"/>
            <rFont val="Tahoma"/>
            <family val="2"/>
          </rPr>
          <t xml:space="preserve"> If you believe the SBUX product offerings, macroeconomic and competitive conditions  will benefit the company, increase the Comp Store Sales rate. If not, decrease the rate.
</t>
        </r>
        <r>
          <rPr>
            <b/>
            <sz val="9"/>
            <color indexed="81"/>
            <rFont val="Tahoma"/>
            <family val="2"/>
          </rPr>
          <t xml:space="preserve">Management Guidance: </t>
        </r>
        <r>
          <rPr>
            <sz val="9"/>
            <color indexed="81"/>
            <rFont val="Tahoma"/>
            <family val="2"/>
          </rPr>
          <t xml:space="preserve"> Mid to high single digits.
</t>
        </r>
        <r>
          <rPr>
            <b/>
            <sz val="9"/>
            <color indexed="81"/>
            <rFont val="Tahoma"/>
            <family val="2"/>
          </rPr>
          <t xml:space="preserve">Source: </t>
        </r>
        <r>
          <rPr>
            <sz val="9"/>
            <color indexed="81"/>
            <rFont val="Tahoma"/>
            <family val="2"/>
          </rPr>
          <t>F3Q2021 Press Release</t>
        </r>
      </text>
    </comment>
    <comment ref="M84" authorId="1" shapeId="0" xr:uid="{01704175-429A-47F5-B9BA-A1C252EFCFFF}">
      <text>
        <r>
          <rPr>
            <b/>
            <sz val="9"/>
            <color indexed="81"/>
            <rFont val="Tahoma"/>
            <family val="2"/>
          </rPr>
          <t xml:space="preserve">Management Gudiance: </t>
        </r>
        <r>
          <rPr>
            <sz val="9"/>
            <color indexed="81"/>
            <rFont val="Tahoma"/>
            <family val="2"/>
          </rPr>
          <t>Management does not provide guidance for the entire International segment, but did guide China to at least 300 net new stores.</t>
        </r>
        <r>
          <rPr>
            <b/>
            <sz val="9"/>
            <color indexed="81"/>
            <rFont val="Tahoma"/>
            <family val="2"/>
          </rPr>
          <t xml:space="preserve">
Source: </t>
        </r>
        <r>
          <rPr>
            <sz val="9"/>
            <color indexed="81"/>
            <rFont val="Tahoma"/>
            <family val="2"/>
          </rPr>
          <t>F3Q2020 Press Release, July 28, 2020</t>
        </r>
      </text>
    </comment>
    <comment ref="K86" authorId="1" shapeId="0" xr:uid="{E8785240-1783-48B0-A92E-E0BF58DA2EFD}">
      <text>
        <r>
          <rPr>
            <b/>
            <sz val="9"/>
            <color indexed="81"/>
            <rFont val="Tahoma"/>
            <family val="2"/>
          </rPr>
          <t>Comment from F3Q2020 Earnings Call:</t>
        </r>
        <r>
          <rPr>
            <sz val="9"/>
            <color indexed="81"/>
            <rFont val="Tahoma"/>
            <family val="2"/>
          </rPr>
          <t xml:space="preserve"> "Also contributing to the decline were lower product sales to our licensees as a result of lost sales related to the COVID-19 outbreak as well as temporary royalty relief that we granted our international licensees. And there was an additional 2% revenue dilutive impact of transitioning our Thailand business to licensed operations last year."</t>
        </r>
      </text>
    </comment>
    <comment ref="N87" authorId="0" shapeId="0" xr:uid="{10804E00-FA9D-47CA-A879-C2CC4F179012}">
      <text>
        <r>
          <rPr>
            <b/>
            <sz val="9"/>
            <color indexed="81"/>
            <rFont val="Tahoma"/>
            <family val="2"/>
          </rPr>
          <t>-----------Review of Historic Results--------MD&amp;A Comment:</t>
        </r>
        <r>
          <rPr>
            <sz val="9"/>
            <color indexed="81"/>
            <rFont val="Tahoma"/>
            <family val="2"/>
          </rPr>
          <t xml:space="preserve"> Licensed stores revenues declined by $57.1 million, primarily due to lower product and equipment sales to and royalty revenues from our licensees.
</t>
        </r>
        <r>
          <rPr>
            <b/>
            <sz val="9"/>
            <color indexed="81"/>
            <rFont val="Tahoma"/>
            <family val="2"/>
          </rPr>
          <t>Source:</t>
        </r>
        <r>
          <rPr>
            <sz val="9"/>
            <color indexed="81"/>
            <rFont val="Tahoma"/>
            <family val="2"/>
          </rPr>
          <t xml:space="preserve"> F1Q2021 10-Q</t>
        </r>
      </text>
    </comment>
    <comment ref="R91" authorId="0" shapeId="0" xr:uid="{3D9B9803-EB71-4401-8DA2-06B1A1A74425}">
      <text>
        <r>
          <rPr>
            <b/>
            <sz val="9"/>
            <color indexed="81"/>
            <rFont val="Tahoma"/>
            <family val="2"/>
          </rPr>
          <t xml:space="preserve">Management Guidance: </t>
        </r>
        <r>
          <rPr>
            <sz val="9"/>
            <color indexed="81"/>
            <rFont val="Tahoma"/>
            <family val="2"/>
          </rPr>
          <t xml:space="preserve">Approximately 1,100 net new stores.
</t>
        </r>
        <r>
          <rPr>
            <b/>
            <sz val="9"/>
            <color indexed="81"/>
            <rFont val="Tahoma"/>
            <family val="2"/>
          </rPr>
          <t>Source:</t>
        </r>
        <r>
          <rPr>
            <sz val="9"/>
            <color indexed="81"/>
            <rFont val="Tahoma"/>
            <family val="2"/>
          </rPr>
          <t xml:space="preserve"> F3Q2021 Press Release</t>
        </r>
      </text>
    </comment>
    <comment ref="N106" authorId="0" shapeId="0" xr:uid="{1AD2A546-8CBF-4261-B339-04437C6B3ADA}">
      <text>
        <r>
          <rPr>
            <b/>
            <sz val="9"/>
            <color indexed="81"/>
            <rFont val="Tahoma"/>
            <family val="2"/>
          </rPr>
          <t>-----------Review of Historic Results------------
MD&amp;A Comment:</t>
        </r>
        <r>
          <rPr>
            <sz val="9"/>
            <color indexed="81"/>
            <rFont val="Tahoma"/>
            <family val="2"/>
          </rPr>
          <t xml:space="preserve"> International operating income for the first quarter of fiscal 2021 was $275 million, compared to $276 million in the first quarter of fiscal 2020. Operating margin decreased 100 basis points to 16.6%, primarily due to sales deleverage attributable to COVID-19, as well as additional costs incurred to invest in partner wages and benefits (approximately 70 basis points). These were partially offset by labor efficiencies (approximately 80 basis points).</t>
        </r>
        <r>
          <rPr>
            <b/>
            <sz val="9"/>
            <color indexed="81"/>
            <rFont val="Tahoma"/>
            <family val="2"/>
          </rPr>
          <t xml:space="preserve">
Source:</t>
        </r>
        <r>
          <rPr>
            <sz val="9"/>
            <color indexed="81"/>
            <rFont val="Tahoma"/>
            <family val="2"/>
          </rPr>
          <t xml:space="preserve"> F1Q2021 10-Q</t>
        </r>
      </text>
    </comment>
    <comment ref="O106" authorId="1" shapeId="0" xr:uid="{75D13763-67BC-405E-88D7-39D104C3D076}">
      <text>
        <r>
          <rPr>
            <b/>
            <sz val="9"/>
            <color indexed="81"/>
            <rFont val="Tahoma"/>
            <family val="2"/>
          </rPr>
          <t>Comment from F3Q2020 Earnings Call:</t>
        </r>
        <r>
          <rPr>
            <sz val="9"/>
            <color indexed="81"/>
            <rFont val="Tahoma"/>
            <family val="2"/>
          </rPr>
          <t xml:space="preserve"> "We anticipate that comparable store sales will substantially recover in China and the US in fiscal 2021 by the end of our first and second quarters, respectively. Additionally, we expect that margin recovery for each business will trail sales recovery by about two quarters."</t>
        </r>
      </text>
    </comment>
    <comment ref="P106" authorId="0" shapeId="0" xr:uid="{35EBC08A-45B1-47F1-B1A5-43E8784B65EB}">
      <text>
        <r>
          <rPr>
            <b/>
            <sz val="9"/>
            <color indexed="81"/>
            <rFont val="Tahoma"/>
            <family val="2"/>
          </rPr>
          <t xml:space="preserve">-----------Review of Historic Results--------
MD&amp;A Comment: </t>
        </r>
        <r>
          <rPr>
            <sz val="9"/>
            <color indexed="81"/>
            <rFont val="Tahoma"/>
            <family val="2"/>
          </rPr>
          <t>International operating income for the third quarter of fiscal 2021 was $318 million, compared to a loss of $86 million in the third quarter of fiscal 2020. Operating margin increased 2,830 basis points to 19.2%, primarily due to sales leverage driven by lapping the severe impact of the COVID-19 pandemic in the prior year as well labor efficiencies (approximately 310 basis points). Also contributing to this increase was lower catastrophe pay (approximately 290 basis points), lapping
temporary royalty relief provided to licensees in the prior year (approximately 230 basis points) and higher temporary government subsidies approximately 200 basis points).</t>
        </r>
        <r>
          <rPr>
            <b/>
            <sz val="9"/>
            <color indexed="81"/>
            <rFont val="Tahoma"/>
            <family val="2"/>
          </rPr>
          <t xml:space="preserve">
Source: </t>
        </r>
        <r>
          <rPr>
            <sz val="9"/>
            <color indexed="81"/>
            <rFont val="Tahoma"/>
            <family val="2"/>
          </rPr>
          <t>F3Q2021 10-Q</t>
        </r>
      </text>
    </comment>
    <comment ref="B107" authorId="1" shapeId="0" xr:uid="{68AF3152-DF11-41B8-937F-AE6A09DAE465}">
      <text>
        <r>
          <rPr>
            <b/>
            <sz val="9"/>
            <color indexed="81"/>
            <rFont val="Tahoma"/>
            <family val="2"/>
          </rPr>
          <t xml:space="preserve">Description of Channel Development Segment from 10-K: </t>
        </r>
        <r>
          <rPr>
            <sz val="9"/>
            <color indexed="81"/>
            <rFont val="Tahoma"/>
            <family val="2"/>
          </rPr>
          <t xml:space="preserve">"Our Channel Development segment includes roasted whole bean and ground coffees, Seattle's Best Coffee®, Starbucks- and Teavana-branded single-serve
products, a variety of ready-to-drink beverages, such as Frappuccino®, Starbucks Doubleshot®, Starbucks Refreshers® beverages and TeavanaTM/MC iced tea, and other branded products sold worldwide outside of our company-operated and licensed stores. Historically our consumer packaged goods ("CPG") have been sold directly to grocery, warehouse club and specialty retail stores and through institutional foodservice companies. With the establishment of the Global Coffee Alliance with Nestlé, a large portion of our Channel Development business transitioned to a licensed model in the fourth quarter of fiscal 2018. Our collaborative relationships with PepsiCo, Inc., Anheuser-Busch InBev, Tingyi Holding Corp., Arla Foods and others for our global ready-to-drink beverage businesses in this segment are excluded from the Global Coffee Alliance."
</t>
        </r>
      </text>
    </comment>
    <comment ref="K108" authorId="1" shapeId="0" xr:uid="{4D60D761-7357-41A7-B2A9-236327C20B93}">
      <text>
        <r>
          <rPr>
            <b/>
            <sz val="9"/>
            <color indexed="81"/>
            <rFont val="Tahoma"/>
            <family val="2"/>
          </rPr>
          <t>Comment from F3Q2020 Earnings Call: "</t>
        </r>
        <r>
          <rPr>
            <sz val="9"/>
            <color indexed="81"/>
            <rFont val="Tahoma"/>
            <family val="2"/>
          </rPr>
          <t xml:space="preserve">When normalizing for the 21% unfavorable impact of lapping Global Coffee Alliance transition-related items that benefited the prior year including higher inventory sales as Nestlé prepared to fulfill customer orders"...based on the fact that the high revenue mark in F3Q2019 was due in part to higher inventory sales, the F3Q2021 revenue will probably be somewhat below this level.
</t>
        </r>
      </text>
    </comment>
    <comment ref="N108" authorId="0" shapeId="0" xr:uid="{949A6226-E323-48C3-A679-FF53F688AC93}">
      <text>
        <r>
          <rPr>
            <b/>
            <sz val="9"/>
            <color indexed="81"/>
            <rFont val="Tahoma"/>
            <family val="2"/>
          </rPr>
          <t>-----------Review of Historic Results------------
MD&amp;A Comment:</t>
        </r>
        <r>
          <rPr>
            <sz val="9"/>
            <color indexed="81"/>
            <rFont val="Tahoma"/>
            <family val="2"/>
          </rPr>
          <t xml:space="preserve"> Channel Development total net revenues for the first quarter of fiscal 2021 decreased $123 million, or 25%, primarily due to the transition of certain single-serve product activities to Nestlé ($91 million) and lapping of transition activities related to the Global Coffee Alliance ($21 million). Also contributing were lower Global Coffee Alliance revenues ($18 million), mainly driven by the Foodservice business, which experienced softening due to COVID-19. These were partially offset by growth in at-home coffee and our ready-to-drink business.
</t>
        </r>
        <r>
          <rPr>
            <b/>
            <sz val="9"/>
            <color indexed="81"/>
            <rFont val="Tahoma"/>
            <family val="2"/>
          </rPr>
          <t>Source:</t>
        </r>
        <r>
          <rPr>
            <sz val="9"/>
            <color indexed="81"/>
            <rFont val="Tahoma"/>
            <family val="2"/>
          </rPr>
          <t xml:space="preserve"> F1Q2021 10-Q</t>
        </r>
      </text>
    </comment>
    <comment ref="P108" authorId="0" shapeId="0" xr:uid="{2480D8FB-83DD-4FDE-B322-410E9B404F6C}">
      <text>
        <r>
          <rPr>
            <b/>
            <sz val="9"/>
            <color indexed="81"/>
            <rFont val="Tahoma"/>
            <family val="2"/>
          </rPr>
          <t xml:space="preserve">-----------Review of Historic Results--------
MD&amp;A Comment: </t>
        </r>
        <r>
          <rPr>
            <sz val="9"/>
            <color indexed="81"/>
            <rFont val="Tahoma"/>
            <family val="2"/>
          </rPr>
          <t>Channel Development total net revenues for the third quarter of fiscal 2021 decreased $33 million, or 7%, primarily due to the transition of certain single-serve product activities to Nestlé ($74 million). This was partially offset by higher product sales and royalty revenue in the Global Coffee Alliance ($30 million) and growth in our ready-to-drink business. We expect the impacts from the transition to be substantially completed by the end of fiscal 2021</t>
        </r>
        <r>
          <rPr>
            <b/>
            <sz val="9"/>
            <color indexed="81"/>
            <rFont val="Tahoma"/>
            <family val="2"/>
          </rPr>
          <t xml:space="preserve">
Source: </t>
        </r>
        <r>
          <rPr>
            <sz val="9"/>
            <color indexed="81"/>
            <rFont val="Tahoma"/>
            <family val="2"/>
          </rPr>
          <t>F3Q2021 10-Q</t>
        </r>
      </text>
    </comment>
    <comment ref="R108" authorId="0" shapeId="0" xr:uid="{66B089D0-BE52-4E27-8B26-C38A6003A96D}">
      <text>
        <r>
          <rPr>
            <b/>
            <sz val="9"/>
            <color indexed="81"/>
            <rFont val="Tahoma"/>
            <family val="2"/>
          </rPr>
          <t xml:space="preserve">Management Guidance: </t>
        </r>
        <r>
          <rPr>
            <sz val="9"/>
            <color indexed="81"/>
            <rFont val="Tahoma"/>
            <family val="2"/>
          </rPr>
          <t xml:space="preserve">Channel Development revenue of $1.5 billion to $1.6 billion
</t>
        </r>
        <r>
          <rPr>
            <b/>
            <sz val="9"/>
            <color indexed="81"/>
            <rFont val="Tahoma"/>
            <family val="2"/>
          </rPr>
          <t>Source:</t>
        </r>
        <r>
          <rPr>
            <sz val="9"/>
            <color indexed="81"/>
            <rFont val="Tahoma"/>
            <family val="2"/>
          </rPr>
          <t xml:space="preserve"> F3Q2021 Press Release</t>
        </r>
      </text>
    </comment>
    <comment ref="M109" authorId="1" shapeId="0" xr:uid="{8A6C5BE3-47A2-4474-804D-8CD5CF704B2D}">
      <text>
        <r>
          <rPr>
            <b/>
            <sz val="9"/>
            <color indexed="81"/>
            <rFont val="Tahoma"/>
            <family val="2"/>
          </rPr>
          <t xml:space="preserve">Management Gudiance: </t>
        </r>
        <r>
          <rPr>
            <sz val="9"/>
            <color indexed="81"/>
            <rFont val="Tahoma"/>
            <family val="2"/>
          </rPr>
          <t xml:space="preserve">Channel Development revenue decline of 5% to 6% for full year.
</t>
        </r>
        <r>
          <rPr>
            <b/>
            <sz val="9"/>
            <color indexed="81"/>
            <rFont val="Tahoma"/>
            <family val="2"/>
          </rPr>
          <t>Source:</t>
        </r>
        <r>
          <rPr>
            <sz val="9"/>
            <color indexed="81"/>
            <rFont val="Tahoma"/>
            <family val="2"/>
          </rPr>
          <t xml:space="preserve"> F3Q2020 Press Release, July 28, 2020</t>
        </r>
      </text>
    </comment>
    <comment ref="N120" authorId="0" shapeId="0" xr:uid="{7A205AD4-56A7-40D5-8915-EFC9B4DEF5B0}">
      <text>
        <r>
          <rPr>
            <b/>
            <sz val="9"/>
            <color indexed="81"/>
            <rFont val="Tahoma"/>
            <family val="2"/>
          </rPr>
          <t>-----------Review of Historic Results------------
MD&amp;A Comment:</t>
        </r>
        <r>
          <rPr>
            <sz val="9"/>
            <color indexed="81"/>
            <rFont val="Tahoma"/>
            <family val="2"/>
          </rPr>
          <t xml:space="preserve"> Channel Development operating income for the first quarter of fiscal 2021 increased 3% to $181 million, compared to $176 million in the first quarter of fiscal 2020. Operating margin increased 1,320 basis points to 48.7%, primarily due to the transfer of certain single-serve products to Nestlé as part of the Global Coffee Alliance (approximately 820 basis points). Strong performance from our North American Coffee Partnership joint venture also contributed.
</t>
        </r>
        <r>
          <rPr>
            <b/>
            <sz val="9"/>
            <color indexed="81"/>
            <rFont val="Tahoma"/>
            <family val="2"/>
          </rPr>
          <t>Source:</t>
        </r>
        <r>
          <rPr>
            <sz val="9"/>
            <color indexed="81"/>
            <rFont val="Tahoma"/>
            <family val="2"/>
          </rPr>
          <t xml:space="preserve"> F1Q2021 10-Q</t>
        </r>
      </text>
    </comment>
    <comment ref="P120" authorId="0" shapeId="0" xr:uid="{EDD0E7A8-F13E-4A34-A4FF-73D72D954C92}">
      <text>
        <r>
          <rPr>
            <b/>
            <sz val="9"/>
            <color indexed="81"/>
            <rFont val="Tahoma"/>
            <family val="2"/>
          </rPr>
          <t>-----------Review of Historic Results--------
MD&amp;A Comment:</t>
        </r>
        <r>
          <rPr>
            <sz val="9"/>
            <color indexed="81"/>
            <rFont val="Tahoma"/>
            <family val="2"/>
          </rPr>
          <t xml:space="preserve"> Channel Development operating income for the third quarter of fiscal 2021 increased 74% to $216 million, compared to $124 million in the third quarter of fiscal 2020. Operating margin increased 2,440 basis points to 52.2%, primarily due to lower Global Coffee Alliance transaction costs, inclusive of lapping certain transition items from prior year (approximately 780 basis points) and a change in estimate relating to a transaction cost accrual (approximately 550 basis points), as well as the transfer of certain single-serve products to Nestlé as part of the Global Coffee Alliance (approximately 700 basis points). Strong performance from our
North American Coffee Partnership joint venture also contributed</t>
        </r>
        <r>
          <rPr>
            <b/>
            <sz val="9"/>
            <color indexed="81"/>
            <rFont val="Tahoma"/>
            <family val="2"/>
          </rPr>
          <t xml:space="preserve">
Source: </t>
        </r>
        <r>
          <rPr>
            <sz val="9"/>
            <color indexed="81"/>
            <rFont val="Tahoma"/>
            <family val="2"/>
          </rPr>
          <t>F3Q2021 10-Q</t>
        </r>
      </text>
    </comment>
    <comment ref="H121" authorId="1" shapeId="0" xr:uid="{92D456D5-110A-4474-ABE1-ADC7BD423C71}">
      <text>
        <r>
          <rPr>
            <b/>
            <sz val="9"/>
            <color indexed="81"/>
            <rFont val="Tahoma"/>
            <family val="2"/>
          </rPr>
          <t xml:space="preserve">F3Q2019 Earnings call (7/25/2019) guidance for FY2019:
</t>
        </r>
        <r>
          <rPr>
            <sz val="9"/>
            <color indexed="81"/>
            <rFont val="Tahoma"/>
            <family val="2"/>
          </rPr>
          <t>Consolidated operating margin down moderately
&gt;Americas operating margin up slightly
&gt;CAP operating margin roughly flat
&gt;EMEA operating margin improving over the course of 2019
&gt;Channel Development operating margin mid-30% range</t>
        </r>
        <r>
          <rPr>
            <b/>
            <sz val="9"/>
            <color indexed="81"/>
            <rFont val="Tahoma"/>
            <family val="2"/>
          </rPr>
          <t xml:space="preserve">
Past Guidance:
F2Q2019 Earnings call guidance for FY2019:
</t>
        </r>
        <r>
          <rPr>
            <sz val="9"/>
            <color indexed="81"/>
            <rFont val="Tahoma"/>
            <family val="2"/>
          </rPr>
          <t>Consolidated operating margin down moderately
&gt;Americas operating margin up slightly
&gt;CAP operating margin roughly flat
&gt;EMEA operating margin improving over the course of 2019
&gt;Channel Development operating margin mid-30% range</t>
        </r>
        <r>
          <rPr>
            <b/>
            <sz val="9"/>
            <color indexed="81"/>
            <rFont val="Tahoma"/>
            <family val="2"/>
          </rPr>
          <t xml:space="preserve">
F1Q2019 Earnings call guidance for FY2019:
</t>
        </r>
        <r>
          <rPr>
            <sz val="9"/>
            <color indexed="81"/>
            <rFont val="Tahoma"/>
            <family val="2"/>
          </rPr>
          <t>Consolidated operating margin down moderately
&gt;Americas operating margin down slightly
&gt;CAP operating margin roughly flat
&gt;EMEA operating margin improving over the course of 2019
&gt;Channel Development operating margin high 30% range</t>
        </r>
      </text>
    </comment>
    <comment ref="K121" authorId="1" shapeId="0" xr:uid="{5312E305-9894-4F77-A73B-CA142549DE86}">
      <text>
        <r>
          <rPr>
            <b/>
            <sz val="9"/>
            <color indexed="81"/>
            <rFont val="Tahoma"/>
            <family val="2"/>
          </rPr>
          <t>Comment from F3Q2020 Earnings Call: "</t>
        </r>
        <r>
          <rPr>
            <sz val="9"/>
            <color indexed="81"/>
            <rFont val="Tahoma"/>
            <family val="2"/>
          </rPr>
          <t>Normalizing for the 460 basis point impact of the transition activities I just mentioned, Channel Development's non-GAAP operating margin contracted 340 basis points in Q3. The contraction was due primarily to a business mix shift within Channel Development as well as deleverage on fixed coffee manufacturing costs shared across the company's operating segments driven by lower retail production volumes resulting from COVID-19."</t>
        </r>
      </text>
    </comment>
    <comment ref="N131" authorId="0" shapeId="0" xr:uid="{754A029F-AFF1-43CD-BEEF-9ACC30A9C38A}">
      <text>
        <r>
          <rPr>
            <b/>
            <sz val="9"/>
            <color indexed="81"/>
            <rFont val="Tahoma"/>
            <family val="2"/>
          </rPr>
          <t xml:space="preserve">-----------Review of Historic Results------------
MD&amp;A Comment: </t>
        </r>
        <r>
          <rPr>
            <sz val="9"/>
            <color indexed="81"/>
            <rFont val="Tahoma"/>
            <family val="2"/>
          </rPr>
          <t>Corporate and Other primarily consists of our unallocated corporate expenses, as well as Evolution Fresh. Unallocated corporate expenses include corporate administrative functions that support the operating segments but are not specifically attributable to or managed by any segment and are not included in the reported financial results of the operating segments.
Corporate and Other operating loss increased to $356 million for the first fiscal quarter of 2021, or 8%, compared to $330 million for the first fiscal quarter of
2020. This increase was primarily driven by incremental strategic investments in technology and higher performance-based compensation recognizing the strength of the company's overall recovery from pandemic-related business impacts.</t>
        </r>
        <r>
          <rPr>
            <b/>
            <sz val="9"/>
            <color indexed="81"/>
            <rFont val="Tahoma"/>
            <family val="2"/>
          </rPr>
          <t xml:space="preserve">
Source: </t>
        </r>
        <r>
          <rPr>
            <sz val="9"/>
            <color indexed="81"/>
            <rFont val="Tahoma"/>
            <family val="2"/>
          </rPr>
          <t>F1Q2021 10-Q</t>
        </r>
      </text>
    </comment>
    <comment ref="P131" authorId="0" shapeId="0" xr:uid="{7EB92423-D38D-4B20-9CB4-DD33C65EDED5}">
      <text>
        <r>
          <rPr>
            <b/>
            <sz val="9"/>
            <color indexed="81"/>
            <rFont val="Tahoma"/>
            <family val="2"/>
          </rPr>
          <t xml:space="preserve">-----------Review of Historic Results--------
MD&amp;A Comment: </t>
        </r>
        <r>
          <rPr>
            <sz val="9"/>
            <color indexed="81"/>
            <rFont val="Tahoma"/>
            <family val="2"/>
          </rPr>
          <t xml:space="preserve">Corporate and Other primarily consists of our unallocated corporate expenses, as well as Evolution Fresh. Unallocated corporate expenses include corporate administrative functions that support the operating segments but are not specifically attributable to or managed by any segment and are not included in the reported financial results of the operating segments.
Corporate and Other operating loss increased to $361 million for the third quarter of fiscal 2021, or 7%, compared to $337 million for the third quarter of fiscal
2020. This increase was primarily driven by higher performance-based compensation recognizing the better than expected business recovery ($37 million) and incremental strategic investments in technology ($19 million).
</t>
        </r>
        <r>
          <rPr>
            <b/>
            <sz val="9"/>
            <color indexed="81"/>
            <rFont val="Tahoma"/>
            <family val="2"/>
          </rPr>
          <t xml:space="preserve">
Source:</t>
        </r>
        <r>
          <rPr>
            <sz val="9"/>
            <color indexed="81"/>
            <rFont val="Tahoma"/>
            <family val="2"/>
          </rPr>
          <t xml:space="preserve"> F3Q2021 10-Q</t>
        </r>
      </text>
    </comment>
    <comment ref="AL139" authorId="0" shapeId="0" xr:uid="{38AF7ECF-73F5-4CEE-A51E-65DD1897EFA4}">
      <text>
        <r>
          <rPr>
            <sz val="9"/>
            <color indexed="81"/>
            <rFont val="Tahoma"/>
            <family val="2"/>
          </rPr>
          <t>Guidance: Global store growth of 7% annually approaching 45,000 stores by the end of 2025 (from fiscal 2023 to 2025). 
Source: Investor Day 9/16/2022</t>
        </r>
      </text>
    </comment>
    <comment ref="H140" authorId="1" shapeId="0" xr:uid="{0B8C9A3B-A74E-488F-88B1-B7E6A2C0D3A2}">
      <text>
        <r>
          <rPr>
            <b/>
            <sz val="9"/>
            <color indexed="81"/>
            <rFont val="Tahoma"/>
            <family val="2"/>
          </rPr>
          <t xml:space="preserve">3Q2019 Earnings call (7/25/2019) guidance for FY2019: </t>
        </r>
        <r>
          <rPr>
            <sz val="9"/>
            <color indexed="81"/>
            <rFont val="Tahoma"/>
            <family val="2"/>
          </rPr>
          <t>Revenue growth of 7%.</t>
        </r>
        <r>
          <rPr>
            <b/>
            <sz val="9"/>
            <color indexed="81"/>
            <rFont val="Tahoma"/>
            <family val="2"/>
          </rPr>
          <t xml:space="preserve">
Previous Guidance:
2Q2019 Earnings call guidance for FY2019: </t>
        </r>
        <r>
          <rPr>
            <sz val="9"/>
            <color indexed="81"/>
            <rFont val="Tahoma"/>
            <family val="2"/>
          </rPr>
          <t>Revenue growth between 5% and 7%.
"As a reminder, we will lap the East China acquisition at the
beginning of Q2, at which point we will no longer see the year-over-year benefit to our total revenue growth. At the
same time, we will still bear the year-over-year revenue headwind from the Global Coffee Alliance. We expect
these factors to yield significantly lower revenue growth in Q2 compared to Q1.  
Given the fact that Q2 is a seasonally low period for us and with the continued substantial carryover of last year's U.S. tax reform-related
investments, we also expect our non-GAAP operating margin percentage to be lower in Q2 compared to Q1.
We are in the early phases of our G&amp;A reduction program, having just started in Q1 and the benefits to the P&amp;L
will not begin to meaningfully materialize until the back half of the fiscal year. This is an area of continued focus
for us and we remain committed to reducing G&amp;A spending as a percentage of system sales over the next three
years to drive profitable growth-at-scale, while making the necessary investments in our business. As we start to
lap the tax reform-related investments in Q3 and with the benefit of our continued focus on improving G&amp;A
efficiency, we expect our non-GAAP operating margin percentage to be higher in the second half of the year
compared to the first half, even with the one-time cost of our global leadership conference that will impact Q4.
Please note that all of this is consistent with our full year guidance for 2019.</t>
        </r>
      </text>
    </comment>
    <comment ref="L140" authorId="1" shapeId="0" xr:uid="{DB6D06B5-14FC-48CA-BC3C-5CDCBBE416DD}">
      <text>
        <r>
          <rPr>
            <b/>
            <sz val="9"/>
            <color indexed="81"/>
            <rFont val="Tahoma"/>
            <family val="2"/>
          </rPr>
          <t>Management Guidance:</t>
        </r>
        <r>
          <rPr>
            <sz val="9"/>
            <color indexed="81"/>
            <rFont val="Tahoma"/>
            <family val="2"/>
          </rPr>
          <t xml:space="preserve"> Consolidated revenue decline of 10% to 15% for Q4.
</t>
        </r>
        <r>
          <rPr>
            <b/>
            <sz val="9"/>
            <color indexed="81"/>
            <rFont val="Tahoma"/>
            <family val="2"/>
          </rPr>
          <t>Source:</t>
        </r>
        <r>
          <rPr>
            <sz val="9"/>
            <color indexed="81"/>
            <rFont val="Tahoma"/>
            <family val="2"/>
          </rPr>
          <t xml:space="preserve"> F3Q2020 Press Release, July 28, 2020</t>
        </r>
      </text>
    </comment>
    <comment ref="AL140" authorId="0" shapeId="0" xr:uid="{E3CFE25C-D719-4C44-BEEF-0222A636C74C}">
      <text>
        <r>
          <rPr>
            <sz val="9"/>
            <color indexed="81"/>
            <rFont val="Tahoma"/>
            <family val="2"/>
          </rPr>
          <t>Guidance: Global revenue growth of 10% to 12% annually (from fiscal 2023 to 2025).
Source: Investor Day 9/16/2022</t>
        </r>
      </text>
    </comment>
    <comment ref="R141" authorId="0" shapeId="0" xr:uid="{E5BB554B-B60C-438B-81D3-0D3F27F34080}">
      <text>
        <r>
          <rPr>
            <b/>
            <sz val="9"/>
            <color indexed="81"/>
            <rFont val="Tahoma"/>
            <family val="2"/>
          </rPr>
          <t xml:space="preserve">Management Guidance: </t>
        </r>
        <r>
          <rPr>
            <sz val="9"/>
            <color indexed="81"/>
            <rFont val="Tahoma"/>
            <family val="2"/>
          </rPr>
          <t xml:space="preserve">  Consolidated GAAP operating margin of ~17%.
</t>
        </r>
        <r>
          <rPr>
            <b/>
            <sz val="9"/>
            <color indexed="81"/>
            <rFont val="Tahoma"/>
            <family val="2"/>
          </rPr>
          <t>Source:</t>
        </r>
        <r>
          <rPr>
            <sz val="9"/>
            <color indexed="81"/>
            <rFont val="Tahoma"/>
            <family val="2"/>
          </rPr>
          <t xml:space="preserve"> F3Q2021 Press Release</t>
        </r>
      </text>
    </comment>
    <comment ref="R142" authorId="0" shapeId="0" xr:uid="{FE027E3D-84B0-4F3D-BE91-D8C5EB06162A}">
      <text>
        <r>
          <rPr>
            <b/>
            <sz val="9"/>
            <color indexed="81"/>
            <rFont val="Tahoma"/>
            <family val="2"/>
          </rPr>
          <t>Management Guidance:</t>
        </r>
        <r>
          <rPr>
            <sz val="9"/>
            <color indexed="81"/>
            <rFont val="Tahoma"/>
            <family val="2"/>
          </rPr>
          <t xml:space="preserve">   Consolidated Non-GAAP operating margin of ~18%
</t>
        </r>
        <r>
          <rPr>
            <b/>
            <sz val="9"/>
            <color indexed="81"/>
            <rFont val="Tahoma"/>
            <family val="2"/>
          </rPr>
          <t>Source:</t>
        </r>
        <r>
          <rPr>
            <sz val="9"/>
            <color indexed="81"/>
            <rFont val="Tahoma"/>
            <family val="2"/>
          </rPr>
          <t xml:space="preserve"> F3Q2021 Press Release</t>
        </r>
      </text>
    </comment>
    <comment ref="V142" authorId="0" shapeId="0" xr:uid="{923FAB52-C0F0-47EB-9A7A-DCB4012DD777}">
      <text>
        <r>
          <rPr>
            <b/>
            <sz val="9"/>
            <color indexed="81"/>
            <rFont val="Tahoma"/>
            <family val="2"/>
          </rPr>
          <t xml:space="preserve">Guidance: </t>
        </r>
        <r>
          <rPr>
            <sz val="9"/>
            <color indexed="81"/>
            <rFont val="Tahoma"/>
            <family val="2"/>
          </rPr>
          <t>"We now expect our Q4 margin and EPS to be lower than Q3 with greater year-over-year pressures primarily due to three reasons. First, the start of mobility recovery in China was later than expected, impacting the pace of recovery previously assumed in Q4. Second, our Q3 performance benefited from approximately $0.05 of non-reoccurring benefits including release of a customs duty accrual, tax credit, government subsidies, and other items which we do not expect to continue in Q4. And third, as previously announced, Q4 will be impacted by a sequential step-up in our investments, as well as our typical seasonality."</t>
        </r>
        <r>
          <rPr>
            <b/>
            <sz val="9"/>
            <color indexed="81"/>
            <rFont val="Tahoma"/>
            <family val="2"/>
          </rPr>
          <t xml:space="preserve">
Source: Investor Day 9/16/2022
</t>
        </r>
      </text>
    </comment>
    <comment ref="AL142" authorId="0" shapeId="0" xr:uid="{89C2ED25-894B-4690-A295-B6A221AF2AA5}">
      <text>
        <r>
          <rPr>
            <sz val="9"/>
            <color indexed="81"/>
            <rFont val="Tahoma"/>
            <family val="2"/>
          </rPr>
          <t>Guidance: Expect “Solid” margin expansion in fiscal 2023 with “progressively more expansion” in fiscal 2024 and 2025.
Source: Investor Day 9/16/2022</t>
        </r>
      </text>
    </comment>
    <comment ref="H143" authorId="1" shapeId="0" xr:uid="{B1087744-88E4-46CF-A5A4-CA94C83BEDF8}">
      <text>
        <r>
          <rPr>
            <b/>
            <sz val="9"/>
            <color indexed="81"/>
            <rFont val="Tahoma"/>
            <family val="2"/>
          </rPr>
          <t xml:space="preserve">F3Q2019 Earnings call (7/25/2019) guidance for FY2019: </t>
        </r>
        <r>
          <rPr>
            <sz val="9"/>
            <color indexed="81"/>
            <rFont val="Tahoma"/>
            <family val="2"/>
          </rPr>
          <t>19% to 20%, Non-GAAP tax rate in the range of 19% to 20%.</t>
        </r>
        <r>
          <rPr>
            <b/>
            <sz val="9"/>
            <color indexed="81"/>
            <rFont val="Tahoma"/>
            <family val="2"/>
          </rPr>
          <t xml:space="preserve">
Previous Guidance:
F2Q2019 Earnings call guidance for FY2019: </t>
        </r>
        <r>
          <rPr>
            <sz val="9"/>
            <color indexed="81"/>
            <rFont val="Tahoma"/>
            <family val="2"/>
          </rPr>
          <t xml:space="preserve">20% to 22%, Non-GAAP tax rate in the range of 19% to 21%.
</t>
        </r>
        <r>
          <rPr>
            <b/>
            <sz val="9"/>
            <color indexed="81"/>
            <rFont val="Tahoma"/>
            <family val="2"/>
          </rPr>
          <t>F1Q2019 Earnings call guidance for FY2019:</t>
        </r>
        <r>
          <rPr>
            <sz val="9"/>
            <color indexed="81"/>
            <rFont val="Tahoma"/>
            <family val="2"/>
          </rPr>
          <t xml:space="preserve"> 21% to 23%</t>
        </r>
      </text>
    </comment>
    <comment ref="L143" authorId="1" shapeId="0" xr:uid="{9978783A-8063-4704-BDE0-68854B5A7921}">
      <text>
        <r>
          <rPr>
            <b/>
            <sz val="9"/>
            <color indexed="81"/>
            <rFont val="Tahoma"/>
            <family val="2"/>
          </rPr>
          <t>Management Guidance:</t>
        </r>
        <r>
          <rPr>
            <sz val="9"/>
            <color indexed="81"/>
            <rFont val="Tahoma"/>
            <family val="2"/>
          </rPr>
          <t xml:space="preserve"> GAAP and non-GAAP effective tax rates in the range of mid- to high-20%s.
</t>
        </r>
        <r>
          <rPr>
            <b/>
            <sz val="9"/>
            <color indexed="81"/>
            <rFont val="Tahoma"/>
            <family val="2"/>
          </rPr>
          <t>Source:</t>
        </r>
        <r>
          <rPr>
            <sz val="9"/>
            <color indexed="81"/>
            <rFont val="Tahoma"/>
            <family val="2"/>
          </rPr>
          <t xml:space="preserve"> F3Q2020 Press Release, July 28, 2020</t>
        </r>
      </text>
    </comment>
    <comment ref="R143" authorId="0" shapeId="0" xr:uid="{E85CBCB5-5BE2-4EBC-91A1-7EDAFF3FF39C}">
      <text>
        <r>
          <rPr>
            <b/>
            <sz val="9"/>
            <color indexed="81"/>
            <rFont val="Tahoma"/>
            <family val="2"/>
          </rPr>
          <t xml:space="preserve">Management Guidance:  </t>
        </r>
        <r>
          <rPr>
            <sz val="9"/>
            <color indexed="81"/>
            <rFont val="Tahoma"/>
            <family val="2"/>
          </rPr>
          <t xml:space="preserve"> GAAP and non-GAAP effective tax rates in the low-20%s
</t>
        </r>
        <r>
          <rPr>
            <b/>
            <sz val="9"/>
            <color indexed="81"/>
            <rFont val="Tahoma"/>
            <family val="2"/>
          </rPr>
          <t>Source:</t>
        </r>
        <r>
          <rPr>
            <sz val="9"/>
            <color indexed="81"/>
            <rFont val="Tahoma"/>
            <family val="2"/>
          </rPr>
          <t xml:space="preserve"> F3Q2021 Press Release</t>
        </r>
      </text>
    </comment>
    <comment ref="X143" authorId="0" shapeId="0" xr:uid="{9961977C-6449-455B-A15F-A2FF81D7133F}">
      <text>
        <r>
          <rPr>
            <sz val="9"/>
            <color indexed="81"/>
            <rFont val="Tahoma"/>
            <family val="2"/>
          </rPr>
          <t>"We expect our non-GAAP effective tax rate to be between 24% and 25%. This range translates to an EPS headwind of roughly 4% year-on-year and is meaningfully higher than the non-GAAP tax rate of 21.3% in fiscal 2021 which benefited from certain discrete tax benefits that are not expected to repeat to the same degree in fiscal 2022."</t>
        </r>
        <r>
          <rPr>
            <b/>
            <sz val="9"/>
            <color indexed="81"/>
            <rFont val="Tahoma"/>
            <family val="2"/>
          </rPr>
          <t xml:space="preserve">
Source: </t>
        </r>
        <r>
          <rPr>
            <sz val="9"/>
            <color indexed="81"/>
            <rFont val="Tahoma"/>
            <family val="2"/>
          </rPr>
          <t>F4Q2021 earnings call</t>
        </r>
      </text>
    </comment>
    <comment ref="AL149" authorId="0" shapeId="0" xr:uid="{04EC1BD3-A98B-47BE-8451-C19089C5599D}">
      <text>
        <r>
          <rPr>
            <sz val="9"/>
            <color indexed="81"/>
            <rFont val="Tahoma"/>
            <family val="2"/>
          </rPr>
          <t>Guidance: Management guided annual EPS growth between 15% to 20%. 
Source: Investor Day 9/16/2022
Assuming 2022 EPS of $2.88 CAGR of 15% to 20% equates to a 2025 EPS range of $4.38 to $4.98.</t>
        </r>
      </text>
    </comment>
    <comment ref="B150" authorId="1" shapeId="0" xr:uid="{DEC99592-60F8-4237-A3AF-C12FFFDD676D}">
      <text>
        <r>
          <rPr>
            <b/>
            <sz val="9"/>
            <color indexed="81"/>
            <rFont val="Tahoma"/>
            <family val="2"/>
          </rPr>
          <t>Note:</t>
        </r>
        <r>
          <rPr>
            <sz val="9"/>
            <color indexed="81"/>
            <rFont val="Tahoma"/>
            <family val="2"/>
          </rPr>
          <t xml:space="preserve"> Item 2 Unregistered Sales of Equity Securities includes the ASRs. They have been seperated here. (Refer to F1Q2019 and F2Q2019 to reconcile)</t>
        </r>
      </text>
    </comment>
    <comment ref="AC153" authorId="0" shapeId="0" xr:uid="{C0034326-28DC-4FA1-A744-B3C89ACA7EB8}">
      <text>
        <r>
          <rPr>
            <sz val="9"/>
            <color indexed="81"/>
            <rFont val="Tahoma"/>
            <family val="2"/>
          </rPr>
          <t>Management is assuming a 2% dividend yield in their forecast.</t>
        </r>
      </text>
    </comment>
    <comment ref="AH153" authorId="0" shapeId="0" xr:uid="{04C1254B-799E-4165-9056-55915B235709}">
      <text>
        <r>
          <rPr>
            <sz val="9"/>
            <color indexed="81"/>
            <rFont val="Tahoma"/>
            <family val="2"/>
          </rPr>
          <t>Management is assuming a 2% dividend yield in their forecast.</t>
        </r>
      </text>
    </comment>
    <comment ref="B165" authorId="1" shapeId="0" xr:uid="{69FDD77B-4BBD-4E6D-BFDB-AA8A8FEF59B2}">
      <text>
        <r>
          <rPr>
            <sz val="9"/>
            <color indexed="81"/>
            <rFont val="Tahoma"/>
            <family val="2"/>
          </rPr>
          <t>Includes transaction costs for the acquisition of our East China joint venture; ongoing amortization expense of acquired
intangible assets associated with the acquisition of East China and Starbucks Japan; and the related post-acquisition integration costs, such as incremental information technology and compensation-related costs</t>
        </r>
      </text>
    </comment>
    <comment ref="Q169" authorId="0" shapeId="0" xr:uid="{0A7519ED-36AE-486E-9ACE-D0FCBECA0496}">
      <text>
        <r>
          <rPr>
            <b/>
            <sz val="9"/>
            <color indexed="81"/>
            <rFont val="Tahoma"/>
            <family val="2"/>
          </rPr>
          <t>Note:</t>
        </r>
        <r>
          <rPr>
            <sz val="9"/>
            <color indexed="81"/>
            <rFont val="Tahoma"/>
            <family val="2"/>
          </rPr>
          <t xml:space="preserve"> management's guidance for non-GAAP EPS is "inclusive of the impact attributable to the 53rd week" therefore we will not remove it here.</t>
        </r>
      </text>
    </comment>
    <comment ref="B172" authorId="1" shapeId="0" xr:uid="{8507D281-FAA7-4AF9-A8E8-6AF1772B2BCE}">
      <text>
        <r>
          <rPr>
            <b/>
            <sz val="9"/>
            <color indexed="81"/>
            <rFont val="Tahoma"/>
            <family val="2"/>
          </rPr>
          <t>Enter negative EPS income tax effect as positive on this line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John Moschella</author>
  </authors>
  <commentList>
    <comment ref="B53" authorId="0" shapeId="0" xr:uid="{C3D1887E-4FA1-4984-B7BC-3E240900F093}">
      <text>
        <r>
          <rPr>
            <sz val="9"/>
            <color indexed="81"/>
            <rFont val="Tahoma"/>
            <family val="2"/>
          </rPr>
          <t>Since Assets must equal Liabilities + Equity, we use Liabilities + Equity in this equation to have the securities balance move with the balance sheet without causing a circular reference error.</t>
        </r>
      </text>
    </comment>
    <comment ref="R64" authorId="1" shapeId="0" xr:uid="{8A6C0302-CA1E-4A3E-B9F0-1DBFC037AFB4}">
      <text>
        <r>
          <rPr>
            <b/>
            <sz val="9"/>
            <color indexed="81"/>
            <rFont val="Tahoma"/>
            <family val="2"/>
          </rPr>
          <t>Management Guidance:</t>
        </r>
        <r>
          <rPr>
            <sz val="9"/>
            <color indexed="81"/>
            <rFont val="Tahoma"/>
            <family val="2"/>
          </rPr>
          <t xml:space="preserve"> "We continue to expect our financial leverage to return to our long-term target of 3 times lease adjusted EBITDA toward the latter part of fiscal 2021" 
</t>
        </r>
        <r>
          <rPr>
            <b/>
            <sz val="9"/>
            <color indexed="81"/>
            <rFont val="Tahoma"/>
            <family val="2"/>
          </rPr>
          <t>Source:</t>
        </r>
        <r>
          <rPr>
            <sz val="9"/>
            <color indexed="81"/>
            <rFont val="Tahoma"/>
            <family val="2"/>
          </rPr>
          <t xml:space="preserve"> Biennial Investor Day (December-2020)
</t>
        </r>
        <r>
          <rPr>
            <b/>
            <sz val="9"/>
            <color indexed="81"/>
            <rFont val="Tahoma"/>
            <family val="2"/>
          </rPr>
          <t>NOTE:</t>
        </r>
        <r>
          <rPr>
            <sz val="9"/>
            <color indexed="81"/>
            <rFont val="Tahoma"/>
            <family val="2"/>
          </rPr>
          <t xml:space="preserve"> We would need the details of lease adjustment to get back to the leverage ratio </t>
        </r>
      </text>
    </comment>
    <comment ref="AG64" authorId="1" shapeId="0" xr:uid="{073F3B4C-ADA1-45D4-9A54-A7B92DA06361}">
      <text>
        <r>
          <rPr>
            <sz val="9"/>
            <color indexed="81"/>
            <rFont val="Tahoma"/>
            <family val="2"/>
          </rPr>
          <t>Guidance: Management guided dividend payout rate to 50%, approximate dividend yield of 2%, share repurchase impact on EPS 1% (net of incremental interest), adjusted debt-to-EBITDA of 3x, capex of $2.5B to $3.0B, and total return to shareholders of ~$20B. 
Source: Investor Day 9/16/2022
Note: This base-case version of the model attempts to meet the midpoint of the implied range on EPS, and balance the impact of the above items. As a result the exact targets on the long-term goals above goals do not match the guidance exactly. As management discloses additional forecast details in fiscal 2023, these estimates should be adjusted.</t>
        </r>
      </text>
    </comment>
    <comment ref="AL64" authorId="1" shapeId="0" xr:uid="{B40707D4-66E9-4B60-8B84-388AD85DCF2F}">
      <text>
        <r>
          <rPr>
            <sz val="9"/>
            <color indexed="81"/>
            <rFont val="Tahoma"/>
            <family val="2"/>
          </rPr>
          <t>Guidance: Management guided dividend payout rate to 50%, approximate dividend yield of 2%, share repurchase impact on EPS 1% (net of incremental interest), adjusted debt-to-EBITDA of 3x, capex of $2.5B to $3.0B, and total return to shareholders of ~$20B. 
Source: Investor Day 9/16/2022
Note: This base-case version of the model attempts to meet the midpoint of the implied range on EPS, and balance the impact of the above items. As a result the exact targets on the long-term goals above goals do not match the guidance exactly. As management discloses additional forecast details in fiscal 2023, these estimates should be adjusted.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author>
    <author>John Moschella</author>
  </authors>
  <commentList>
    <comment ref="B5" authorId="0" shapeId="0" xr:uid="{466FBD72-28A3-4C3B-B752-78AE8F849F7F}">
      <text>
        <r>
          <rPr>
            <b/>
            <sz val="9"/>
            <color indexed="81"/>
            <rFont val="Tahoma"/>
            <family val="2"/>
          </rPr>
          <t>Note: Use the company's 10-K not SEC web data</t>
        </r>
      </text>
    </comment>
    <comment ref="B17" authorId="0" shapeId="0" xr:uid="{A110C775-40D5-4FD1-850D-2C4864DE944C}">
      <text>
        <r>
          <rPr>
            <b/>
            <sz val="9"/>
            <color indexed="81"/>
            <rFont val="Tahoma"/>
            <family val="2"/>
          </rPr>
          <t>Change sign</t>
        </r>
      </text>
    </comment>
    <comment ref="B21" authorId="0" shapeId="0" xr:uid="{5CF40A0E-3F24-4569-9F79-D58B8225F93A}">
      <text>
        <r>
          <rPr>
            <b/>
            <sz val="9"/>
            <color indexed="81"/>
            <rFont val="Tahoma"/>
            <family val="2"/>
          </rPr>
          <t>Change sign</t>
        </r>
      </text>
    </comment>
    <comment ref="H25" authorId="0" shapeId="0" xr:uid="{8A347FC7-DFFE-495B-AFD4-CD2DC1F7678A}">
      <text>
        <r>
          <rPr>
            <b/>
            <sz val="9"/>
            <color indexed="81"/>
            <rFont val="Tahoma"/>
            <family val="2"/>
          </rPr>
          <t xml:space="preserve">3Q2019 Earnings call (7/25/2019) guidance for FY2019:
</t>
        </r>
        <r>
          <rPr>
            <sz val="9"/>
            <color indexed="81"/>
            <rFont val="Tahoma"/>
            <family val="2"/>
          </rPr>
          <t>Capex ~ $2B</t>
        </r>
      </text>
    </comment>
    <comment ref="M25" authorId="0" shapeId="0" xr:uid="{8EC71DFD-D913-4240-A092-D1F9E4F86775}">
      <text>
        <r>
          <rPr>
            <b/>
            <sz val="9"/>
            <color indexed="81"/>
            <rFont val="Tahoma"/>
            <family val="2"/>
          </rPr>
          <t xml:space="preserve">Management Guidance: </t>
        </r>
        <r>
          <rPr>
            <sz val="9"/>
            <color indexed="81"/>
            <rFont val="Tahoma"/>
            <family val="2"/>
          </rPr>
          <t xml:space="preserve">Full year capex ~ $1.5B.
</t>
        </r>
        <r>
          <rPr>
            <b/>
            <sz val="9"/>
            <color indexed="81"/>
            <rFont val="Tahoma"/>
            <family val="2"/>
          </rPr>
          <t xml:space="preserve">Source: </t>
        </r>
        <r>
          <rPr>
            <sz val="9"/>
            <color indexed="81"/>
            <rFont val="Tahoma"/>
            <family val="2"/>
          </rPr>
          <t>F3Q2020 Press Release, July 28, 2020</t>
        </r>
      </text>
    </comment>
    <comment ref="R25" authorId="1" shapeId="0" xr:uid="{865DAAC5-F29D-4B30-A74B-78572192BBA0}">
      <text>
        <r>
          <rPr>
            <b/>
            <sz val="9"/>
            <color indexed="81"/>
            <rFont val="Tahoma"/>
            <family val="2"/>
          </rPr>
          <t xml:space="preserve">Management Guidance: </t>
        </r>
        <r>
          <rPr>
            <sz val="9"/>
            <color indexed="81"/>
            <rFont val="Tahoma"/>
            <family val="2"/>
          </rPr>
          <t xml:space="preserve">  ~$1.7B
</t>
        </r>
        <r>
          <rPr>
            <b/>
            <sz val="9"/>
            <color indexed="81"/>
            <rFont val="Tahoma"/>
            <family val="2"/>
          </rPr>
          <t>Source:</t>
        </r>
        <r>
          <rPr>
            <sz val="9"/>
            <color indexed="81"/>
            <rFont val="Tahoma"/>
            <family val="2"/>
          </rPr>
          <t xml:space="preserve"> F3Q2021 Press Release</t>
        </r>
      </text>
    </comment>
    <comment ref="AB25" authorId="1" shapeId="0" xr:uid="{62805CDB-0BAA-4F78-8E0A-87FEBFA32A31}">
      <text>
        <r>
          <rPr>
            <sz val="9"/>
            <color indexed="81"/>
            <rFont val="Tahoma"/>
            <family val="2"/>
          </rPr>
          <t>Guidance: Capital expenditures of $2.5B to $3.0B annually (fiscal 2023, 2024, and 2025).
Source: Investor Day 9/16/2022</t>
        </r>
      </text>
    </comment>
    <comment ref="AG25" authorId="1" shapeId="0" xr:uid="{2F86057A-4F1F-4A7A-98D1-D3515F51286C}">
      <text>
        <r>
          <rPr>
            <sz val="9"/>
            <color indexed="81"/>
            <rFont val="Tahoma"/>
            <family val="2"/>
          </rPr>
          <t>Guidance: Capital expenditures of $2.5B to $3.0B annually (fiscal 2023, 2024, and 2025).
Source: Investor Day 9/16/2022</t>
        </r>
      </text>
    </comment>
    <comment ref="AL25" authorId="1" shapeId="0" xr:uid="{398BF0E4-FC08-4161-9CA2-51533648312E}">
      <text>
        <r>
          <rPr>
            <sz val="9"/>
            <color indexed="81"/>
            <rFont val="Tahoma"/>
            <family val="2"/>
          </rPr>
          <t>Guidance: Capital expenditures of $2.5B to $3.0B annually (fiscal 2023, 2024, and 2025).
Source: Investor Day 9/16/2022</t>
        </r>
      </text>
    </comment>
    <comment ref="B29" authorId="0" shapeId="0" xr:uid="{3733CC76-26CB-42F0-BF94-0A2E3347C02F}">
      <text>
        <r>
          <rPr>
            <b/>
            <sz val="9"/>
            <color indexed="81"/>
            <rFont val="Tahoma"/>
            <family val="2"/>
          </rPr>
          <t>Change sign for payments of debt</t>
        </r>
      </text>
    </comment>
    <comment ref="B42" authorId="0" shapeId="0" xr:uid="{5DD02FCE-6538-4E37-9BE7-C31C9663FAB4}">
      <text>
        <r>
          <rPr>
            <sz val="9"/>
            <color indexed="81"/>
            <rFont val="Tahoma"/>
            <family val="2"/>
          </rPr>
          <t>Cash Flow from Operations - Capital Expenditures + After tax Interest Expense</t>
        </r>
      </text>
    </comment>
    <comment ref="AL58" authorId="1" shapeId="0" xr:uid="{3D4CBC2B-8B28-4D77-842C-55DE3EDFD469}">
      <text>
        <r>
          <rPr>
            <sz val="9"/>
            <color indexed="81"/>
            <rFont val="Tahoma"/>
            <family val="2"/>
          </rPr>
          <t>Guidance: Management guided dividend payout rate to 50%, approximate dividend yield of 2%, share repurchase impact on EPS 1% (net of incremental interest), adjusted debt-to-EBITDA of 3x, capex of $2.5B to $3.0B, and total return to shareholders of ~$20B. 
Source: Investor Day 9/16/2022
Note: This base-case version of the model attempts to meet the midpoint of the implied range on EPS, and balance the impact of the above items. As a result the exact targets on the long-term goals above goals do not match the guidance exactly. As management discloses additional forecast details in fiscal 2023, these estimates should be adjusted.</t>
        </r>
      </text>
    </comment>
    <comment ref="AL61" authorId="1" shapeId="0" xr:uid="{D0BBFDF1-0302-4C5E-99AA-96E01126727A}">
      <text>
        <r>
          <rPr>
            <sz val="9"/>
            <color indexed="81"/>
            <rFont val="Tahoma"/>
            <family val="2"/>
          </rPr>
          <t>Guidance: Management guided dividend payout rate to 50%, approximate dividend yield of 2%, share repurchase impact on EPS 1% (net of incremental interest), adjusted debt-to-EBITDA of 3x, capex of $2.5B to $3.0B, and total return to shareholders of ~$20B. 
Source: Investor Day 9/16/2022
Note: This base-case version of the model attempts to meet the midpoint of the implied range on EPS, and balance the impact of the above items. As a result the exact targets on the long-term goals above goals do not match the guidance exactly. As management discloses additional forecast details in fiscal 2023, these estimates should be adjusted.</t>
        </r>
      </text>
    </comment>
    <comment ref="AL62" authorId="1" shapeId="0" xr:uid="{B60FB9F3-AD9F-4F87-AD15-2CDB32A7720A}">
      <text>
        <r>
          <rPr>
            <b/>
            <sz val="9"/>
            <color indexed="81"/>
            <rFont val="Tahoma"/>
            <family val="2"/>
          </rPr>
          <t xml:space="preserve">Guidance: </t>
        </r>
        <r>
          <rPr>
            <sz val="9"/>
            <color indexed="81"/>
            <rFont val="Tahoma"/>
            <family val="2"/>
          </rPr>
          <t xml:space="preserve">Management guided annual EPS growth between 15% to 20%. </t>
        </r>
        <r>
          <rPr>
            <b/>
            <sz val="9"/>
            <color indexed="81"/>
            <rFont val="Tahoma"/>
            <family val="2"/>
          </rPr>
          <t xml:space="preserve">
Source: Investor Day 9/16/2022
</t>
        </r>
        <r>
          <rPr>
            <sz val="9"/>
            <color indexed="81"/>
            <rFont val="Tahoma"/>
            <family val="2"/>
          </rPr>
          <t>Assuming 2022 EPS of $2.88 CAGR of 15% to 20% equates to a 2025 EPS range of $4.38 to $4.98.</t>
        </r>
        <r>
          <rPr>
            <b/>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John Moschella</author>
    <author>Admin</author>
    <author>Gutenberg Research</author>
  </authors>
  <commentList>
    <comment ref="N8" authorId="0" shapeId="0" xr:uid="{BA5A1F09-B666-4960-A6A0-5DB45C844542}">
      <text>
        <r>
          <rPr>
            <b/>
            <sz val="9"/>
            <color indexed="81"/>
            <rFont val="Tahoma"/>
            <family val="2"/>
          </rPr>
          <t xml:space="preserve">-----------Review of Historic Results------------
MD&amp;A Comment: </t>
        </r>
        <r>
          <rPr>
            <sz val="9"/>
            <color indexed="81"/>
            <rFont val="Tahoma"/>
            <family val="2"/>
          </rPr>
          <t xml:space="preserve">Total net revenues for the first quarter of fiscal 2021 decreased $348 million. Company-operated stores revenue declined $54 million, reflecting a 5% decrease in comparable store sales ($279 million) attributed to a 19% decrease in transactions partially offset by a 17% increase in average ticket. This decrease was partially offset by 667 net new Starbucks company-operated stores, or a 4% increase, over the past 12 months ($170 million) and favorable foreign currency translation ($69 million).
Licensed stores revenue decreased $178 million, primarily driven by lower product and equipment sales to and royalty revenues from our licensees.
Other revenues decreased $115 million, primarily due to the transition of certain single-serve product activities to Nestlé and lapping of transition activities related
to the Global Coffee Alliance in the prior year. Also contributing were lower Global Coffee Alliance revenues, mainly driven by the Foodservice business, which
experienced softening due to COVID-19.
</t>
        </r>
        <r>
          <rPr>
            <b/>
            <sz val="9"/>
            <color indexed="81"/>
            <rFont val="Tahoma"/>
            <family val="2"/>
          </rPr>
          <t>Source:</t>
        </r>
        <r>
          <rPr>
            <sz val="9"/>
            <color indexed="81"/>
            <rFont val="Tahoma"/>
            <family val="2"/>
          </rPr>
          <t xml:space="preserve"> F1Q2021 10-Q</t>
        </r>
      </text>
    </comment>
    <comment ref="P8" authorId="0" shapeId="0" xr:uid="{9366770A-ABE8-43E3-BD71-922BA7920D2F}">
      <text>
        <r>
          <rPr>
            <b/>
            <sz val="9"/>
            <color indexed="81"/>
            <rFont val="Tahoma"/>
            <family val="2"/>
          </rPr>
          <t>-----------Review of Historic Results--------
MD&amp;A Comment:</t>
        </r>
        <r>
          <rPr>
            <sz val="9"/>
            <color indexed="81"/>
            <rFont val="Tahoma"/>
            <family val="2"/>
          </rPr>
          <t xml:space="preserve"> Total net revenues for the third quarter of fiscal 2021 increased $3.3 billion, primarily due to higher revenues from company-operated stores ($2.9 billion). The growth of company-operated stores revenues was driven by a 73% increase in comparable store sales ($2.5 billion) attributed to a 75% increase in transactions offset by a 1% decrease in average ticket. Also contributing to the increase were incremental revenues from 612 net new Starbucks company-operated stores, or a 4% increase, over the past 12 months ($268 million) and favorable foreign currency translation ($119 million).
Licensed stores revenue increased $380 million, primarily driven by higher product and equipment sales to and royalty revenues from our licensees.
Other revenues decreased $24 million, primarily due to the transition of certain single-serve product activities to Nestlé. This was partially offset by higher product
sales and royalty revenue in the Global Coffee Alliance and growth in our ready-to-drink business.</t>
        </r>
        <r>
          <rPr>
            <b/>
            <sz val="9"/>
            <color indexed="81"/>
            <rFont val="Tahoma"/>
            <family val="2"/>
          </rPr>
          <t xml:space="preserve">
Source: </t>
        </r>
        <r>
          <rPr>
            <sz val="9"/>
            <color indexed="81"/>
            <rFont val="Tahoma"/>
            <family val="2"/>
          </rPr>
          <t>F3Q2021 10-Q</t>
        </r>
      </text>
    </comment>
    <comment ref="R8" authorId="0" shapeId="0" xr:uid="{C031DE3E-0E63-4ABA-A250-FF48F3DC733E}">
      <text>
        <r>
          <rPr>
            <b/>
            <sz val="9"/>
            <color indexed="81"/>
            <rFont val="Tahoma"/>
            <family val="2"/>
          </rPr>
          <t>Management Guidance:</t>
        </r>
        <r>
          <rPr>
            <sz val="9"/>
            <color indexed="81"/>
            <rFont val="Tahoma"/>
            <family val="2"/>
          </rPr>
          <t xml:space="preserve">  Consolidated revenue of $28.0 billion to $29.0 billion, inclusive of a $500 million impact attributable to the 53rd week
</t>
        </r>
        <r>
          <rPr>
            <b/>
            <sz val="9"/>
            <color indexed="81"/>
            <rFont val="Tahoma"/>
            <family val="2"/>
          </rPr>
          <t xml:space="preserve">Source: </t>
        </r>
        <r>
          <rPr>
            <sz val="9"/>
            <color indexed="81"/>
            <rFont val="Tahoma"/>
            <family val="2"/>
          </rPr>
          <t>F1Q2021 Press Release, January 26, 2021</t>
        </r>
      </text>
    </comment>
    <comment ref="B9" authorId="1" shapeId="0" xr:uid="{EBCA97B0-FFD8-402E-B976-D555A38E717B}">
      <text>
        <r>
          <rPr>
            <sz val="9"/>
            <color indexed="81"/>
            <rFont val="Tahoma"/>
            <family val="2"/>
          </rPr>
          <t>'The caption "Product and distribution costs" replaced "Cost of sales" in financial statements published in periods prior to our third quarter of fiscal 2020. Besides the name change, there were no other changes in the types of costs reported within the
caption." 
Management views as a percentage of total net revenue. Margin % tends to shift with changes in food/beverage mix, cost of coffee, and changes in fx.</t>
        </r>
      </text>
    </comment>
    <comment ref="N9" authorId="0" shapeId="0" xr:uid="{7B151EBC-572B-4D6A-BECC-DF5FEC09B33C}">
      <text>
        <r>
          <rPr>
            <b/>
            <sz val="9"/>
            <color indexed="81"/>
            <rFont val="Tahoma"/>
            <family val="2"/>
          </rPr>
          <t xml:space="preserve">----Review of Historic Results-------
MD&amp;A Comment: </t>
        </r>
        <r>
          <rPr>
            <sz val="9"/>
            <color indexed="81"/>
            <rFont val="Tahoma"/>
            <family val="2"/>
          </rPr>
          <t>Product and distribution costs as a percentage of total net revenues decreased 110 basis points for the first quarter of fiscal 2021, primarily due to the transfer of certain single-serve products to Nestlé beginning in the fourth quarter of fiscal 2020 (approximately 90 basis points) and pricing in Americas.</t>
        </r>
        <r>
          <rPr>
            <b/>
            <sz val="9"/>
            <color indexed="81"/>
            <rFont val="Tahoma"/>
            <family val="2"/>
          </rPr>
          <t xml:space="preserve">
Source: </t>
        </r>
        <r>
          <rPr>
            <sz val="9"/>
            <color indexed="81"/>
            <rFont val="Tahoma"/>
            <family val="2"/>
          </rPr>
          <t>F1Q2021 10-Q</t>
        </r>
      </text>
    </comment>
    <comment ref="P9" authorId="0" shapeId="0" xr:uid="{EA10BA9E-6ED0-44FE-8B84-A4666F786EA8}">
      <text>
        <r>
          <rPr>
            <b/>
            <sz val="9"/>
            <color indexed="81"/>
            <rFont val="Tahoma"/>
            <family val="2"/>
          </rPr>
          <t xml:space="preserve">-----------Review of Historic Results--------
MD&amp;A Comment: </t>
        </r>
        <r>
          <rPr>
            <sz val="9"/>
            <color indexed="81"/>
            <rFont val="Tahoma"/>
            <family val="2"/>
          </rPr>
          <t>Product and distribution costs as a percentage of total net revenues decreased 570 basis points for the third quarter of fiscal 2021, primarily due to sales leverage driven by lapping the severe impact of the COVID-19 pandemic in the prior year and pricing in the Americas.</t>
        </r>
        <r>
          <rPr>
            <b/>
            <sz val="9"/>
            <color indexed="81"/>
            <rFont val="Tahoma"/>
            <family val="2"/>
          </rPr>
          <t xml:space="preserve">
Source: </t>
        </r>
        <r>
          <rPr>
            <sz val="9"/>
            <color indexed="81"/>
            <rFont val="Tahoma"/>
            <family val="2"/>
          </rPr>
          <t>F3Q2021 10-Q</t>
        </r>
      </text>
    </comment>
    <comment ref="N10" authorId="0" shapeId="0" xr:uid="{7264A4D1-EF6F-4065-834A-27D6143EA315}">
      <text>
        <r>
          <rPr>
            <b/>
            <sz val="9"/>
            <color indexed="81"/>
            <rFont val="Tahoma"/>
            <family val="2"/>
          </rPr>
          <t>-----------Review of Historic Results------------
MD&amp;A Comment:</t>
        </r>
        <r>
          <rPr>
            <sz val="9"/>
            <color indexed="81"/>
            <rFont val="Tahoma"/>
            <family val="2"/>
          </rPr>
          <t xml:space="preserve"> Store operating expenses as a percentage of total net revenues increased 270 basis points for the first quarter of fiscal 2021. Store operating expenses as a percentage of company-operated store revenues increased 130 basis points, primarily due to sales deleverage attributable to COVID-19 impacts, as well as catastrophe pay programs for retail partners, net of benefits provided by temporary subsidies from the U.S. and certain foreign governments (approximately 50 basis points), and growth in wages and benefits (approximately 180 basis points). These were partially offset by labor efficiencies (approximately 250 basis points).</t>
        </r>
        <r>
          <rPr>
            <b/>
            <sz val="9"/>
            <color indexed="81"/>
            <rFont val="Tahoma"/>
            <family val="2"/>
          </rPr>
          <t xml:space="preserve">
Source: </t>
        </r>
        <r>
          <rPr>
            <sz val="9"/>
            <color indexed="81"/>
            <rFont val="Tahoma"/>
            <family val="2"/>
          </rPr>
          <t>F1Q2021 10-Q</t>
        </r>
      </text>
    </comment>
    <comment ref="P10" authorId="0" shapeId="0" xr:uid="{EBA470F1-8596-432C-883B-CFEEC631B79B}">
      <text>
        <r>
          <rPr>
            <b/>
            <sz val="9"/>
            <color indexed="81"/>
            <rFont val="Tahoma"/>
            <family val="2"/>
          </rPr>
          <t>-----------Review of Historic Results--------
MD&amp;A Comment:</t>
        </r>
        <r>
          <rPr>
            <sz val="9"/>
            <color indexed="81"/>
            <rFont val="Tahoma"/>
            <family val="2"/>
          </rPr>
          <t xml:space="preserve"> Store operating expenses as a percentage of total net revenues decreased 2,050 basis points for the third quarter of fiscal 2021. Store operating expenses as a percentage of company-operated store revenues decreased 2,710 basis points, primarily due to sales leverage from business recovery and lapping higher COVID 19 related costs in the prior year, mainly catastrophe and service pay for store partners, net of temporary subsidies from the U.S. and certain foreign governments (approximately 840 basis points). These increases were partially offset by additional investments in retail store partners wages and benefits (approximately 100 basis points).</t>
        </r>
        <r>
          <rPr>
            <b/>
            <sz val="9"/>
            <color indexed="81"/>
            <rFont val="Tahoma"/>
            <family val="2"/>
          </rPr>
          <t xml:space="preserve">
Source:</t>
        </r>
        <r>
          <rPr>
            <sz val="9"/>
            <color indexed="81"/>
            <rFont val="Tahoma"/>
            <family val="2"/>
          </rPr>
          <t xml:space="preserve"> F3Q2021 10-Q</t>
        </r>
      </text>
    </comment>
    <comment ref="N11" authorId="0" shapeId="0" xr:uid="{233A8486-D466-47FA-A934-7C073B5390D9}">
      <text>
        <r>
          <rPr>
            <b/>
            <sz val="9"/>
            <color indexed="81"/>
            <rFont val="Tahoma"/>
            <family val="2"/>
          </rPr>
          <t xml:space="preserve">----Review of Historic Results-----
MD&amp;A Comment: </t>
        </r>
        <r>
          <rPr>
            <sz val="9"/>
            <color indexed="81"/>
            <rFont val="Tahoma"/>
            <family val="2"/>
          </rPr>
          <t>Other operating expenses decreased $10 million for the first quarter of fiscal 2021, primarily due to lapping prior year incremental costs to develop and grow the Global Coffee Alliance.</t>
        </r>
        <r>
          <rPr>
            <b/>
            <sz val="9"/>
            <color indexed="81"/>
            <rFont val="Tahoma"/>
            <family val="2"/>
          </rPr>
          <t xml:space="preserve">
Source: </t>
        </r>
        <r>
          <rPr>
            <sz val="9"/>
            <color indexed="81"/>
            <rFont val="Tahoma"/>
            <family val="2"/>
          </rPr>
          <t>F1Q2021 10-Q</t>
        </r>
      </text>
    </comment>
    <comment ref="P11" authorId="0" shapeId="0" xr:uid="{B0151B8A-387D-4EB0-9DCC-426B401AF0E7}">
      <text>
        <r>
          <rPr>
            <b/>
            <sz val="9"/>
            <color indexed="81"/>
            <rFont val="Tahoma"/>
            <family val="2"/>
          </rPr>
          <t xml:space="preserve">-----------Review of Historic Results--------
MD&amp;A Comment: </t>
        </r>
        <r>
          <rPr>
            <sz val="9"/>
            <color indexed="81"/>
            <rFont val="Tahoma"/>
            <family val="2"/>
          </rPr>
          <t>Other operating expenses decreased $62 million for the third quarter of fiscal 2021, primarily due to lower Global Coffee Alliance transaction costs, inclusive of
lapping certain transition items from the prior year and a change in estimate relating to a transaction cost accrual.</t>
        </r>
        <r>
          <rPr>
            <b/>
            <sz val="9"/>
            <color indexed="81"/>
            <rFont val="Tahoma"/>
            <family val="2"/>
          </rPr>
          <t xml:space="preserve">
Source: </t>
        </r>
        <r>
          <rPr>
            <sz val="9"/>
            <color indexed="81"/>
            <rFont val="Tahoma"/>
            <family val="2"/>
          </rPr>
          <t>F3Q2021 10-Q</t>
        </r>
      </text>
    </comment>
    <comment ref="N12" authorId="0" shapeId="0" xr:uid="{E15EE2A7-EBEE-4B02-833D-5346A8EABC8C}">
      <text>
        <r>
          <rPr>
            <b/>
            <sz val="9"/>
            <color indexed="81"/>
            <rFont val="Tahoma"/>
            <family val="2"/>
          </rPr>
          <t xml:space="preserve">------Review of Historic Results---
MD&amp;A Comment: </t>
        </r>
        <r>
          <rPr>
            <sz val="9"/>
            <color indexed="81"/>
            <rFont val="Tahoma"/>
            <family val="2"/>
          </rPr>
          <t>Depreciation and amortization expenses as a percentage of total net revenues increased 50 basis points, primarily due to sales eleverage.</t>
        </r>
        <r>
          <rPr>
            <b/>
            <sz val="9"/>
            <color indexed="81"/>
            <rFont val="Tahoma"/>
            <family val="2"/>
          </rPr>
          <t xml:space="preserve">
Source: </t>
        </r>
        <r>
          <rPr>
            <sz val="9"/>
            <color indexed="81"/>
            <rFont val="Tahoma"/>
            <family val="2"/>
          </rPr>
          <t>F1Q2021 10-Q</t>
        </r>
      </text>
    </comment>
    <comment ref="P12" authorId="0" shapeId="0" xr:uid="{01999D37-FCA3-45EB-A675-946FDC6227CA}">
      <text>
        <r>
          <rPr>
            <b/>
            <sz val="9"/>
            <color indexed="81"/>
            <rFont val="Tahoma"/>
            <family val="2"/>
          </rPr>
          <t xml:space="preserve">-----------Review of Historic Results--------
MD&amp;A Comment: </t>
        </r>
        <r>
          <rPr>
            <sz val="9"/>
            <color indexed="81"/>
            <rFont val="Tahoma"/>
            <family val="2"/>
          </rPr>
          <t>Depreciation and amortization expenses as a percentage of total net revenues decreased 390 basis points, primarily due to sales leverage.</t>
        </r>
        <r>
          <rPr>
            <b/>
            <sz val="9"/>
            <color indexed="81"/>
            <rFont val="Tahoma"/>
            <family val="2"/>
          </rPr>
          <t xml:space="preserve">
Source: </t>
        </r>
        <r>
          <rPr>
            <sz val="9"/>
            <color indexed="81"/>
            <rFont val="Tahoma"/>
            <family val="2"/>
          </rPr>
          <t>F3Q2021 10-Q</t>
        </r>
      </text>
    </comment>
    <comment ref="N13" authorId="0" shapeId="0" xr:uid="{C265F382-8A15-43B7-B65B-9616E31C4DFA}">
      <text>
        <r>
          <rPr>
            <b/>
            <sz val="9"/>
            <color indexed="81"/>
            <rFont val="Tahoma"/>
            <family val="2"/>
          </rPr>
          <t xml:space="preserve">------Review of Historic Results-----
MD&amp;A Comment: </t>
        </r>
        <r>
          <rPr>
            <sz val="9"/>
            <color indexed="81"/>
            <rFont val="Tahoma"/>
            <family val="2"/>
          </rPr>
          <t>General and administrative expenses increased $38 million, primarily due to incremental strategic investments in technology ($28 million) and higher performance-based compensation, recognizing the strength of the company's overall recovery from pandemic-related business impacts ($18 million).</t>
        </r>
        <r>
          <rPr>
            <b/>
            <sz val="9"/>
            <color indexed="81"/>
            <rFont val="Tahoma"/>
            <family val="2"/>
          </rPr>
          <t xml:space="preserve">
Source: </t>
        </r>
        <r>
          <rPr>
            <sz val="9"/>
            <color indexed="81"/>
            <rFont val="Tahoma"/>
            <family val="2"/>
          </rPr>
          <t>F1Q2021 10-Q</t>
        </r>
      </text>
    </comment>
    <comment ref="P13" authorId="0" shapeId="0" xr:uid="{285516A6-5EF4-4B63-B2B6-E597C7162D0C}">
      <text>
        <r>
          <rPr>
            <b/>
            <sz val="9"/>
            <color indexed="81"/>
            <rFont val="Tahoma"/>
            <family val="2"/>
          </rPr>
          <t xml:space="preserve">-----------Review of Historic Results--------
MD&amp;A Comment: </t>
        </r>
        <r>
          <rPr>
            <sz val="9"/>
            <color indexed="81"/>
            <rFont val="Tahoma"/>
            <family val="2"/>
          </rPr>
          <t>General and administrative expenses increased $95 million, primarily due to higher performance-based compensation recognizing the better than expected business
recovery ($64 million) and incremental strategic investments in technology ($21 million).</t>
        </r>
        <r>
          <rPr>
            <b/>
            <sz val="9"/>
            <color indexed="81"/>
            <rFont val="Tahoma"/>
            <family val="2"/>
          </rPr>
          <t xml:space="preserve">
Source: </t>
        </r>
        <r>
          <rPr>
            <sz val="9"/>
            <color indexed="81"/>
            <rFont val="Tahoma"/>
            <family val="2"/>
          </rPr>
          <t>F3Q2021 10-Q</t>
        </r>
      </text>
    </comment>
    <comment ref="L14" authorId="2" shapeId="0" xr:uid="{FEB95E8F-9DCE-4C27-9426-EF58B7D3D98E}">
      <text>
        <r>
          <rPr>
            <b/>
            <sz val="9"/>
            <color indexed="81"/>
            <rFont val="Tahoma"/>
            <family val="2"/>
          </rPr>
          <t xml:space="preserve">Note (updated on 7/14): </t>
        </r>
        <r>
          <rPr>
            <sz val="9"/>
            <color indexed="81"/>
            <rFont val="Tahoma"/>
            <family val="2"/>
          </rPr>
          <t xml:space="preserve">Since management guided restructing costs to $0.11 per share (approximately $129M) we can change our opex allocation to meet this guidance [Increase allocation in cell L74 by 1.86% of the total opex allocation, and subtract 1.86% from Store operating expense]. </t>
        </r>
        <r>
          <rPr>
            <sz val="9"/>
            <color indexed="81"/>
            <rFont val="Tahoma"/>
            <family val="2"/>
          </rPr>
          <t xml:space="preserve">
</t>
        </r>
      </text>
    </comment>
    <comment ref="N14" authorId="0" shapeId="0" xr:uid="{4C50AEB1-1B9B-49BB-AA44-33E722B8CE3F}">
      <text>
        <r>
          <rPr>
            <b/>
            <sz val="9"/>
            <color indexed="81"/>
            <rFont val="Tahoma"/>
            <family val="2"/>
          </rPr>
          <t xml:space="preserve">--Review of Historic Results-----------
MD&amp;A Comment: </t>
        </r>
        <r>
          <rPr>
            <sz val="9"/>
            <color indexed="81"/>
            <rFont val="Tahoma"/>
            <family val="2"/>
          </rPr>
          <t>Restructuring and impairment expenses increased $66 million, primarily due to higher asset impairment related to store portfolio optimization ($42 million) and accelerated amortization of right-of-use lease assets associated with the closure of certain company-operated stores ($26 million).</t>
        </r>
        <r>
          <rPr>
            <b/>
            <sz val="9"/>
            <color indexed="81"/>
            <rFont val="Tahoma"/>
            <family val="2"/>
          </rPr>
          <t xml:space="preserve">
Source: </t>
        </r>
        <r>
          <rPr>
            <sz val="9"/>
            <color indexed="81"/>
            <rFont val="Tahoma"/>
            <family val="2"/>
          </rPr>
          <t>F1Q2021 10-Q</t>
        </r>
      </text>
    </comment>
    <comment ref="P14" authorId="0" shapeId="0" xr:uid="{ED6B35A2-56C8-4A61-A57C-FEB2331EBDDC}">
      <text>
        <r>
          <rPr>
            <b/>
            <sz val="9"/>
            <color indexed="81"/>
            <rFont val="Tahoma"/>
            <family val="2"/>
          </rPr>
          <t xml:space="preserve">-----------Review of Historic Results--------
MD&amp;A Comment: </t>
        </r>
        <r>
          <rPr>
            <sz val="9"/>
            <color indexed="81"/>
            <rFont val="Tahoma"/>
            <family val="2"/>
          </rPr>
          <t>Restructuring and impairment expenses decreased $58 million, primarily due to lower asset impairment related to store portfolio optimization ($34 million) and
lapping the intangible asset impairment from the prior year ($22 million).</t>
        </r>
        <r>
          <rPr>
            <b/>
            <sz val="9"/>
            <color indexed="81"/>
            <rFont val="Tahoma"/>
            <family val="2"/>
          </rPr>
          <t xml:space="preserve">
Source: </t>
        </r>
        <r>
          <rPr>
            <sz val="9"/>
            <color indexed="81"/>
            <rFont val="Tahoma"/>
            <family val="2"/>
          </rPr>
          <t>F3Q2021 10-Q</t>
        </r>
      </text>
    </comment>
    <comment ref="B16" authorId="1" shapeId="0" xr:uid="{68119A23-4CCA-4944-9388-EAC79DC3C909}">
      <text>
        <r>
          <rPr>
            <sz val="9"/>
            <color indexed="81"/>
            <rFont val="Tahoma"/>
            <family val="2"/>
          </rPr>
          <t>10-K: "Equity investments are accounted for using the equity method of accounting if the investment gives us the ability to exercise significant influence, but not control, over an investee. Equity method investments are included within long-term  investments on our consolidated balance sheets. Our share of the earnings or losses as reported by equity method investees are classified as income from equity investees on our consolidated statements of earnings.
Equity investments for which we do not have the ability to exercise significant influence are accounted for using the cost method of accounting and are recorded in long-term investments on our consolidated balance sheets. Under the cost method, investments are carried at cost and are adjusted only for other-than-temporary declines in fair value, certain distributions and additional investments."</t>
        </r>
      </text>
    </comment>
    <comment ref="N16" authorId="0" shapeId="0" xr:uid="{7E80A412-CDFE-4110-A262-CCF78FF57DF2}">
      <text>
        <r>
          <rPr>
            <b/>
            <sz val="9"/>
            <color indexed="81"/>
            <rFont val="Tahoma"/>
            <family val="2"/>
          </rPr>
          <t xml:space="preserve">-------Review of Historic Results------MD&amp;A Comment: </t>
        </r>
        <r>
          <rPr>
            <sz val="9"/>
            <color indexed="81"/>
            <rFont val="Tahoma"/>
            <family val="2"/>
          </rPr>
          <t>Income from equity investees increased $9 million, primarily due to higher income from our North American Coffee Partnership joint venture, partially offset by temporary store closures and reduced operating hours in our South Korea and India joint ventures.</t>
        </r>
        <r>
          <rPr>
            <b/>
            <sz val="9"/>
            <color indexed="81"/>
            <rFont val="Tahoma"/>
            <family val="2"/>
          </rPr>
          <t xml:space="preserve">
Source: </t>
        </r>
        <r>
          <rPr>
            <sz val="9"/>
            <color indexed="81"/>
            <rFont val="Tahoma"/>
            <family val="2"/>
          </rPr>
          <t>F1Q2021 10-Q</t>
        </r>
      </text>
    </comment>
    <comment ref="P16" authorId="0" shapeId="0" xr:uid="{C083FFD6-2B3C-4765-9821-CA4600F3253E}">
      <text>
        <r>
          <rPr>
            <b/>
            <sz val="9"/>
            <color indexed="81"/>
            <rFont val="Tahoma"/>
            <family val="2"/>
          </rPr>
          <t>-----------Review of Historic Results--------
MD&amp;A Comment:</t>
        </r>
        <r>
          <rPr>
            <sz val="9"/>
            <color indexed="81"/>
            <rFont val="Tahoma"/>
            <family val="2"/>
          </rPr>
          <t xml:space="preserve"> Income from equity investees increased $37 million, primarily due to higher income from our South Korea joint venture attributable to net new store growth and lapping lower royalty income due to the severe impact of the COVID-19 pandemic in the prior year ($18 million). Higher income from our North American Coffee Partnership joint venture also contributed ($13 million).</t>
        </r>
        <r>
          <rPr>
            <b/>
            <sz val="9"/>
            <color indexed="81"/>
            <rFont val="Tahoma"/>
            <family val="2"/>
          </rPr>
          <t xml:space="preserve">
Source: </t>
        </r>
        <r>
          <rPr>
            <sz val="9"/>
            <color indexed="81"/>
            <rFont val="Tahoma"/>
            <family val="2"/>
          </rPr>
          <t>F3Q2021 10-Q</t>
        </r>
      </text>
    </comment>
    <comment ref="P21" authorId="0" shapeId="0" xr:uid="{256CFCA8-FE0D-484B-8836-8F949167129B}">
      <text>
        <r>
          <rPr>
            <b/>
            <sz val="9"/>
            <color indexed="81"/>
            <rFont val="Tahoma"/>
            <family val="2"/>
          </rPr>
          <t xml:space="preserve">-----------Review of Historic Results--------
MD&amp;A Comment: </t>
        </r>
        <r>
          <rPr>
            <sz val="9"/>
            <color indexed="81"/>
            <rFont val="Tahoma"/>
            <family val="2"/>
          </rPr>
          <t>Interest income and other, net increased $23 million, primarily due to additional gains from certain investments.</t>
        </r>
        <r>
          <rPr>
            <b/>
            <sz val="9"/>
            <color indexed="81"/>
            <rFont val="Tahoma"/>
            <family val="2"/>
          </rPr>
          <t xml:space="preserve">
Source: </t>
        </r>
        <r>
          <rPr>
            <sz val="9"/>
            <color indexed="81"/>
            <rFont val="Tahoma"/>
            <family val="2"/>
          </rPr>
          <t>F3Q2021 10-Q</t>
        </r>
      </text>
    </comment>
    <comment ref="H22" authorId="1" shapeId="0" xr:uid="{D5624F28-E404-414F-BE56-A34784E4CFE3}">
      <text>
        <r>
          <rPr>
            <b/>
            <sz val="9"/>
            <color indexed="81"/>
            <rFont val="Tahoma"/>
            <family val="2"/>
          </rPr>
          <t>F3Q2019 Earnings call (7/25/2019) guidance for FY2019:</t>
        </r>
        <r>
          <rPr>
            <sz val="9"/>
            <color indexed="81"/>
            <rFont val="Tahoma"/>
            <family val="2"/>
          </rPr>
          <t xml:space="preserve"> Interest Expense guided to $330M.</t>
        </r>
      </text>
    </comment>
    <comment ref="M22" authorId="1" shapeId="0" xr:uid="{DDBBDAAF-31E0-43F3-8E37-2BE0F2DE7CE2}">
      <text>
        <r>
          <rPr>
            <b/>
            <sz val="9"/>
            <color indexed="81"/>
            <rFont val="Tahoma"/>
            <family val="2"/>
          </rPr>
          <t xml:space="preserve">Management Guidance: </t>
        </r>
        <r>
          <rPr>
            <sz val="9"/>
            <color indexed="81"/>
            <rFont val="Tahoma"/>
            <family val="2"/>
          </rPr>
          <t>Interest expense of approximately $435 million to $445 million</t>
        </r>
        <r>
          <rPr>
            <b/>
            <sz val="9"/>
            <color indexed="81"/>
            <rFont val="Tahoma"/>
            <family val="2"/>
          </rPr>
          <t xml:space="preserve">
Source: </t>
        </r>
        <r>
          <rPr>
            <sz val="9"/>
            <color indexed="81"/>
            <rFont val="Tahoma"/>
            <family val="2"/>
          </rPr>
          <t>F3Q2020 Press Release, July 28, 2020</t>
        </r>
      </text>
    </comment>
    <comment ref="N22" authorId="0" shapeId="0" xr:uid="{3CFDD0D7-A029-4018-9E01-E8922A7DC3E8}">
      <text>
        <r>
          <rPr>
            <b/>
            <sz val="9"/>
            <color indexed="81"/>
            <rFont val="Tahoma"/>
            <family val="2"/>
          </rPr>
          <t xml:space="preserve">-----------Review of Historic Results------------MD&amp;A Comment: </t>
        </r>
        <r>
          <rPr>
            <sz val="9"/>
            <color indexed="81"/>
            <rFont val="Tahoma"/>
            <family val="2"/>
          </rPr>
          <t>Interest expense increased $29 million, primarily due to additional interest incurred on long-term debt issued in March 2020 and May 2020.</t>
        </r>
        <r>
          <rPr>
            <b/>
            <sz val="9"/>
            <color indexed="81"/>
            <rFont val="Tahoma"/>
            <family val="2"/>
          </rPr>
          <t xml:space="preserve">
Source: </t>
        </r>
        <r>
          <rPr>
            <sz val="9"/>
            <color indexed="81"/>
            <rFont val="Tahoma"/>
            <family val="2"/>
          </rPr>
          <t>F1Q2021 10-Q</t>
        </r>
      </text>
    </comment>
    <comment ref="P22" authorId="0" shapeId="0" xr:uid="{17B7E761-A13E-420F-BC62-274CA24413A6}">
      <text>
        <r>
          <rPr>
            <b/>
            <sz val="9"/>
            <color indexed="81"/>
            <rFont val="Tahoma"/>
            <family val="2"/>
          </rPr>
          <t xml:space="preserve">-----------Review of Historic Results--------
MD&amp;A Comment: </t>
        </r>
        <r>
          <rPr>
            <sz val="9"/>
            <color indexed="81"/>
            <rFont val="Tahoma"/>
            <family val="2"/>
          </rPr>
          <t>Interest expense decreased $7 million, primarily due to lower debt balances attributed to repayments of short-term and current portion of long-term debt balances.</t>
        </r>
        <r>
          <rPr>
            <b/>
            <sz val="9"/>
            <color indexed="81"/>
            <rFont val="Tahoma"/>
            <family val="2"/>
          </rPr>
          <t xml:space="preserve">
Source: </t>
        </r>
        <r>
          <rPr>
            <sz val="9"/>
            <color indexed="81"/>
            <rFont val="Tahoma"/>
            <family val="2"/>
          </rPr>
          <t>F3Q2021 10-Q</t>
        </r>
      </text>
    </comment>
    <comment ref="R22" authorId="0" shapeId="0" xr:uid="{5DD9F6C6-96A0-40FA-9D14-7E54B42346F7}">
      <text>
        <r>
          <rPr>
            <b/>
            <sz val="9"/>
            <color indexed="81"/>
            <rFont val="Tahoma"/>
            <family val="2"/>
          </rPr>
          <t xml:space="preserve">Management Guidance: </t>
        </r>
        <r>
          <rPr>
            <sz val="9"/>
            <color indexed="81"/>
            <rFont val="Tahoma"/>
            <family val="2"/>
          </rPr>
          <t xml:space="preserve">  Interest expense of approximately $470 million to $480 million.
</t>
        </r>
        <r>
          <rPr>
            <b/>
            <sz val="9"/>
            <color indexed="81"/>
            <rFont val="Tahoma"/>
            <family val="2"/>
          </rPr>
          <t>Source:</t>
        </r>
        <r>
          <rPr>
            <sz val="9"/>
            <color indexed="81"/>
            <rFont val="Tahoma"/>
            <family val="2"/>
          </rPr>
          <t xml:space="preserve"> F1Q2021 Press Release, January 26, 2021</t>
        </r>
      </text>
    </comment>
    <comment ref="N24" authorId="0" shapeId="0" xr:uid="{E736355D-41BC-4841-A8B0-B65C2144F621}">
      <text>
        <r>
          <rPr>
            <b/>
            <sz val="9"/>
            <color indexed="81"/>
            <rFont val="Tahoma"/>
            <family val="2"/>
          </rPr>
          <t xml:space="preserve">-----------Review of Historic Results---------MD&amp;A Comment: </t>
        </r>
        <r>
          <rPr>
            <sz val="9"/>
            <color indexed="81"/>
            <rFont val="Tahoma"/>
            <family val="2"/>
          </rPr>
          <t>The effective tax rate for the quarter ended December 27, 2020 was 23.0% compared to 22.6% for the same quarter in fiscal 2020. The increase was primarily due to the effect of lower pre-tax earnings and the proportionate impacts from certain permanent differences and discrete items, as well as the foreign rate differential on our jurisdictional mix of earnings. This was partially offset by an increase in stock-based compensation excess tax benefits (approximately 190 basis points).</t>
        </r>
        <r>
          <rPr>
            <b/>
            <sz val="9"/>
            <color indexed="81"/>
            <rFont val="Tahoma"/>
            <family val="2"/>
          </rPr>
          <t xml:space="preserve">
Source:</t>
        </r>
        <r>
          <rPr>
            <sz val="9"/>
            <color indexed="81"/>
            <rFont val="Tahoma"/>
            <family val="2"/>
          </rPr>
          <t xml:space="preserve"> F1Q2021 10-Q</t>
        </r>
      </text>
    </comment>
    <comment ref="P24" authorId="0" shapeId="0" xr:uid="{33526529-4C0D-4AA6-B0BF-721C4E51AD02}">
      <text>
        <r>
          <rPr>
            <b/>
            <sz val="9"/>
            <color indexed="81"/>
            <rFont val="Tahoma"/>
            <family val="2"/>
          </rPr>
          <t xml:space="preserve">-----------Review of Historic Results--------
MD&amp;A Comment: </t>
        </r>
        <r>
          <rPr>
            <sz val="9"/>
            <color indexed="81"/>
            <rFont val="Tahoma"/>
            <family val="2"/>
          </rPr>
          <t>The effective tax rate for the quarter ended June 27, 2021 was 18.2% compared to 16.5% for the same quarter in fiscal 2020. The increase was primarily due to the foreign rate differential on our mix of earnings by tax jurisdictions, as well as a change in the absolute pre-tax operating results when compared to the same period of the prior year. This was partially offset by lapping valuation allowances recorded against deferred tax assets of certain international jurisdictions in the prior year
(approximately 840 basis points), a current year remeasurement of deferred tax assets due to an enacted corporate rate change (approximately 510 basis points) and lapping the release of income tax reserves related to the expiration of statute of limitations in the prior year (approximately 330 basis points).</t>
        </r>
        <r>
          <rPr>
            <b/>
            <sz val="9"/>
            <color indexed="81"/>
            <rFont val="Tahoma"/>
            <family val="2"/>
          </rPr>
          <t xml:space="preserve">
Source: </t>
        </r>
        <r>
          <rPr>
            <sz val="9"/>
            <color indexed="81"/>
            <rFont val="Tahoma"/>
            <family val="2"/>
          </rPr>
          <t>F3Q2021 10-Q</t>
        </r>
      </text>
    </comment>
    <comment ref="H33" authorId="1" shapeId="0" xr:uid="{239C5A85-72EE-4647-9738-9D4608F862F7}">
      <text>
        <r>
          <rPr>
            <b/>
            <sz val="9"/>
            <color indexed="81"/>
            <rFont val="Tahoma"/>
            <family val="2"/>
          </rPr>
          <t xml:space="preserve">F3Q2019 Earnings call (7/25/2019) guidance for FY2019: </t>
        </r>
        <r>
          <rPr>
            <sz val="9"/>
            <color indexed="81"/>
            <rFont val="Tahoma"/>
            <family val="2"/>
          </rPr>
          <t>GAAP EPS in the range of $2.86 to $2.88</t>
        </r>
        <r>
          <rPr>
            <b/>
            <sz val="9"/>
            <color indexed="81"/>
            <rFont val="Tahoma"/>
            <family val="2"/>
          </rPr>
          <t xml:space="preserve">
Previous Guidance:
F2Q2019 Earnings call guidance for FY2019: </t>
        </r>
        <r>
          <rPr>
            <sz val="9"/>
            <color indexed="81"/>
            <rFont val="Tahoma"/>
            <family val="2"/>
          </rPr>
          <t xml:space="preserve">GAAP EPS in the range of $2.40 to $2.44
</t>
        </r>
        <r>
          <rPr>
            <b/>
            <sz val="9"/>
            <color indexed="81"/>
            <rFont val="Tahoma"/>
            <family val="2"/>
          </rPr>
          <t>F1Q2019 Earnings call guidance for FY2019:</t>
        </r>
        <r>
          <rPr>
            <sz val="9"/>
            <color indexed="81"/>
            <rFont val="Tahoma"/>
            <family val="2"/>
          </rPr>
          <t xml:space="preserve"> GAAP EPS in the range of $2.32 to $2.37
</t>
        </r>
      </text>
    </comment>
    <comment ref="L33" authorId="1" shapeId="0" xr:uid="{A539FC61-830D-480B-BFA6-443EAC594303}">
      <text>
        <r>
          <rPr>
            <b/>
            <sz val="9"/>
            <color indexed="81"/>
            <rFont val="Tahoma"/>
            <family val="2"/>
          </rPr>
          <t xml:space="preserve">Management Guidance: </t>
        </r>
        <r>
          <rPr>
            <sz val="9"/>
            <color indexed="81"/>
            <rFont val="Tahoma"/>
            <family val="2"/>
          </rPr>
          <t xml:space="preserve">GAAP EPS in the range of $0.06 to $0.21 for Q4.
</t>
        </r>
        <r>
          <rPr>
            <b/>
            <sz val="9"/>
            <color indexed="81"/>
            <rFont val="Tahoma"/>
            <family val="2"/>
          </rPr>
          <t>Source:</t>
        </r>
        <r>
          <rPr>
            <sz val="9"/>
            <color indexed="81"/>
            <rFont val="Tahoma"/>
            <family val="2"/>
          </rPr>
          <t xml:space="preserve"> F3Q2020 Press Release, July 28, 2020</t>
        </r>
      </text>
    </comment>
    <comment ref="M33" authorId="1" shapeId="0" xr:uid="{4714A3D5-EC79-490D-8652-B9A5A657A917}">
      <text>
        <r>
          <rPr>
            <b/>
            <sz val="9"/>
            <color indexed="81"/>
            <rFont val="Tahoma"/>
            <family val="2"/>
          </rPr>
          <t>Management Guidance:</t>
        </r>
        <r>
          <rPr>
            <sz val="9"/>
            <color indexed="81"/>
            <rFont val="Tahoma"/>
            <family val="2"/>
          </rPr>
          <t xml:space="preserve"> GAAP EPS in the range of $0.50 to $0.65 for full year.
</t>
        </r>
        <r>
          <rPr>
            <b/>
            <sz val="9"/>
            <color indexed="81"/>
            <rFont val="Tahoma"/>
            <family val="2"/>
          </rPr>
          <t>Source:</t>
        </r>
        <r>
          <rPr>
            <sz val="9"/>
            <color indexed="81"/>
            <rFont val="Tahoma"/>
            <family val="2"/>
          </rPr>
          <t xml:space="preserve"> F3Q2020 Press Release, July 28, 2020</t>
        </r>
      </text>
    </comment>
    <comment ref="O33" authorId="0" shapeId="0" xr:uid="{0B63BAD3-980B-4274-8AB5-5BAC8ADC0FC6}">
      <text>
        <r>
          <rPr>
            <b/>
            <sz val="9"/>
            <color indexed="81"/>
            <rFont val="Tahoma"/>
            <family val="2"/>
          </rPr>
          <t xml:space="preserve">Management Guidance: </t>
        </r>
        <r>
          <rPr>
            <sz val="9"/>
            <color indexed="81"/>
            <rFont val="Tahoma"/>
            <family val="2"/>
          </rPr>
          <t>GAAP EPS in the range of $0.36 to $0.41.</t>
        </r>
        <r>
          <rPr>
            <b/>
            <sz val="9"/>
            <color indexed="81"/>
            <rFont val="Tahoma"/>
            <family val="2"/>
          </rPr>
          <t xml:space="preserve">
Source: </t>
        </r>
        <r>
          <rPr>
            <sz val="9"/>
            <color indexed="81"/>
            <rFont val="Tahoma"/>
            <family val="2"/>
          </rPr>
          <t>F1Q2021 Press Release, January 26, 2021</t>
        </r>
      </text>
    </comment>
    <comment ref="R33" authorId="0" shapeId="0" xr:uid="{E2508A10-8784-474A-8A7C-8CCC17EA9D79}">
      <text>
        <r>
          <rPr>
            <b/>
            <sz val="9"/>
            <color indexed="81"/>
            <rFont val="Tahoma"/>
            <family val="2"/>
          </rPr>
          <t>Management Guidance:</t>
        </r>
        <r>
          <rPr>
            <sz val="9"/>
            <color indexed="81"/>
            <rFont val="Tahoma"/>
            <family val="2"/>
          </rPr>
          <t xml:space="preserve"> GAAP EPS in the range of $2.97 to $3.02, inclusive of a $0.10 impact attributable to the 53rd week
</t>
        </r>
        <r>
          <rPr>
            <b/>
            <sz val="9"/>
            <color indexed="81"/>
            <rFont val="Tahoma"/>
            <family val="2"/>
          </rPr>
          <t>Source:</t>
        </r>
        <r>
          <rPr>
            <sz val="9"/>
            <color indexed="81"/>
            <rFont val="Tahoma"/>
            <family val="2"/>
          </rPr>
          <t xml:space="preserve"> F3Q2021 Press Release
</t>
        </r>
      </text>
    </comment>
    <comment ref="H34" authorId="1" shapeId="0" xr:uid="{F29A36E5-D536-4FDC-9009-ED02F43342AE}">
      <text>
        <r>
          <rPr>
            <b/>
            <sz val="9"/>
            <color indexed="81"/>
            <rFont val="Tahoma"/>
            <family val="2"/>
          </rPr>
          <t xml:space="preserve">F3Q2019 Earnings call (7/25/2019) guidance for FY2019: </t>
        </r>
        <r>
          <rPr>
            <sz val="9"/>
            <color indexed="81"/>
            <rFont val="Tahoma"/>
            <family val="2"/>
          </rPr>
          <t xml:space="preserve">Non-GAAP EPS in the range of $2.80 to $2.82 </t>
        </r>
        <r>
          <rPr>
            <b/>
            <sz val="9"/>
            <color indexed="81"/>
            <rFont val="Tahoma"/>
            <family val="2"/>
          </rPr>
          <t xml:space="preserve">
Previous Guidance:
F2Q2019 Earnings call guidance for FY2019:</t>
        </r>
        <r>
          <rPr>
            <sz val="9"/>
            <color indexed="81"/>
            <rFont val="Tahoma"/>
            <family val="2"/>
          </rPr>
          <t xml:space="preserve"> Non-GAAP EPS in the range of $2.75 to $2.79 
</t>
        </r>
        <r>
          <rPr>
            <b/>
            <sz val="9"/>
            <color indexed="81"/>
            <rFont val="Tahoma"/>
            <family val="2"/>
          </rPr>
          <t>F1Q2019 Earnings call guidance for FY2019:</t>
        </r>
        <r>
          <rPr>
            <sz val="9"/>
            <color indexed="81"/>
            <rFont val="Tahoma"/>
            <family val="2"/>
          </rPr>
          <t xml:space="preserve"> Non-GAAP EPS in the range of $2.68 to $2.73 </t>
        </r>
      </text>
    </comment>
    <comment ref="L34" authorId="1" shapeId="0" xr:uid="{EA2E5710-C7B5-4C82-A44F-35C93E5DA64D}">
      <text>
        <r>
          <rPr>
            <b/>
            <sz val="9"/>
            <color indexed="81"/>
            <rFont val="Tahoma"/>
            <family val="2"/>
          </rPr>
          <t>Management Guidance:</t>
        </r>
        <r>
          <rPr>
            <sz val="9"/>
            <color indexed="81"/>
            <rFont val="Tahoma"/>
            <family val="2"/>
          </rPr>
          <t xml:space="preserve"> Non-GAAP EPS in the range of $0.18 to $0.33 for Q4.
</t>
        </r>
        <r>
          <rPr>
            <b/>
            <sz val="9"/>
            <color indexed="81"/>
            <rFont val="Tahoma"/>
            <family val="2"/>
          </rPr>
          <t>Source:</t>
        </r>
        <r>
          <rPr>
            <sz val="9"/>
            <color indexed="81"/>
            <rFont val="Tahoma"/>
            <family val="2"/>
          </rPr>
          <t xml:space="preserve"> F3Q2020 Press Release, July 28, 2020</t>
        </r>
      </text>
    </comment>
    <comment ref="M34" authorId="1" shapeId="0" xr:uid="{8EEA9A87-0E9A-432B-ADE3-396219FFB181}">
      <text>
        <r>
          <rPr>
            <b/>
            <sz val="9"/>
            <color indexed="81"/>
            <rFont val="Tahoma"/>
            <family val="2"/>
          </rPr>
          <t xml:space="preserve">Management Guidance: </t>
        </r>
        <r>
          <rPr>
            <sz val="9"/>
            <color indexed="81"/>
            <rFont val="Tahoma"/>
            <family val="2"/>
          </rPr>
          <t xml:space="preserve">Non-GAAP EPS in the range of $0.83 to $0.93 for full year.
</t>
        </r>
        <r>
          <rPr>
            <b/>
            <sz val="9"/>
            <color indexed="81"/>
            <rFont val="Tahoma"/>
            <family val="2"/>
          </rPr>
          <t xml:space="preserve">Source: </t>
        </r>
        <r>
          <rPr>
            <sz val="9"/>
            <color indexed="81"/>
            <rFont val="Tahoma"/>
            <family val="2"/>
          </rPr>
          <t xml:space="preserve">F3Q2020 Press Release, July 28, 2020
</t>
        </r>
        <r>
          <rPr>
            <b/>
            <sz val="9"/>
            <color indexed="81"/>
            <rFont val="Tahoma"/>
            <family val="2"/>
          </rPr>
          <t>Primary Output:</t>
        </r>
        <r>
          <rPr>
            <sz val="9"/>
            <color indexed="81"/>
            <rFont val="Tahoma"/>
            <family val="2"/>
          </rPr>
          <t xml:space="preserve"> After you adjust the Primary Inputs in the model below, your new earnings forecast will recalculate based on the new assumptions resulting in a new EPS estimate, and theoretical target share price band.</t>
        </r>
      </text>
    </comment>
    <comment ref="O34" authorId="0" shapeId="0" xr:uid="{B085CA61-495F-483D-AF26-72AEB4F35937}">
      <text>
        <r>
          <rPr>
            <b/>
            <sz val="9"/>
            <color indexed="81"/>
            <rFont val="Tahoma"/>
            <family val="2"/>
          </rPr>
          <t xml:space="preserve">Management Guidance: </t>
        </r>
        <r>
          <rPr>
            <sz val="9"/>
            <color indexed="81"/>
            <rFont val="Tahoma"/>
            <family val="2"/>
          </rPr>
          <t xml:space="preserve">GAAP EPS in the range of $0.45 to $0.50.
</t>
        </r>
        <r>
          <rPr>
            <b/>
            <sz val="9"/>
            <color indexed="81"/>
            <rFont val="Tahoma"/>
            <family val="2"/>
          </rPr>
          <t xml:space="preserve">Source: </t>
        </r>
        <r>
          <rPr>
            <sz val="9"/>
            <color indexed="81"/>
            <rFont val="Tahoma"/>
            <family val="2"/>
          </rPr>
          <t>F1Q2021 Press Release, January 26, 2021</t>
        </r>
      </text>
    </comment>
    <comment ref="R34" authorId="0" shapeId="0" xr:uid="{6B1EF1CC-148C-4127-B6F4-FEE6E21FFEAC}">
      <text>
        <r>
          <rPr>
            <b/>
            <sz val="9"/>
            <color indexed="81"/>
            <rFont val="Tahoma"/>
            <family val="2"/>
          </rPr>
          <t xml:space="preserve">Management Guidance: </t>
        </r>
        <r>
          <rPr>
            <sz val="9"/>
            <color indexed="81"/>
            <rFont val="Tahoma"/>
            <family val="2"/>
          </rPr>
          <t>Non-GAAP EPS in the range of $3.20 to $3.25, inclusive of a $0.10 impact attributable to the 53rd week.</t>
        </r>
        <r>
          <rPr>
            <b/>
            <sz val="9"/>
            <color indexed="81"/>
            <rFont val="Tahoma"/>
            <family val="2"/>
          </rPr>
          <t xml:space="preserve">
Source: </t>
        </r>
        <r>
          <rPr>
            <sz val="9"/>
            <color indexed="81"/>
            <rFont val="Tahoma"/>
            <family val="2"/>
          </rPr>
          <t>F3Q2021 Press Release</t>
        </r>
      </text>
    </comment>
    <comment ref="V34" authorId="0" shapeId="0" xr:uid="{C9EF0BA4-A6F2-401C-BFF6-D0E6D01F05F1}">
      <text>
        <r>
          <rPr>
            <b/>
            <sz val="9"/>
            <color indexed="81"/>
            <rFont val="Tahoma"/>
            <family val="2"/>
          </rPr>
          <t xml:space="preserve">Guidance: </t>
        </r>
        <r>
          <rPr>
            <sz val="9"/>
            <color indexed="81"/>
            <rFont val="Tahoma"/>
            <family val="2"/>
          </rPr>
          <t xml:space="preserve">"We now expect our Q4 margin and EPS to be lower than Q3 with greater year-over-year pressures primarily due to three reasons. First, the start of mobility recovery in China was later than expected, impacting the pace of recovery previously assumed in Q4. Second, our Q3 performance benefited from approximately $0.05 of non-reoccurring benefits including release of a customs duty accrual, tax credit, government subsidies, and other items which we do not expect to continue in Q4. And third, as previously announced, Q4 will be impacted by a sequential step-up in our investments, as well as our typical seasonality."
</t>
        </r>
        <r>
          <rPr>
            <b/>
            <sz val="9"/>
            <color indexed="81"/>
            <rFont val="Tahoma"/>
            <family val="2"/>
          </rPr>
          <t xml:space="preserve">Source: </t>
        </r>
        <r>
          <rPr>
            <sz val="9"/>
            <color indexed="81"/>
            <rFont val="Tahoma"/>
            <family val="2"/>
          </rPr>
          <t>Investor Day 9/16/2022</t>
        </r>
      </text>
    </comment>
    <comment ref="AL34" authorId="0" shapeId="0" xr:uid="{AACB8CD1-07FA-43C9-B21D-620DF9E63378}">
      <text>
        <r>
          <rPr>
            <b/>
            <sz val="9"/>
            <color indexed="81"/>
            <rFont val="Tahoma"/>
            <family val="2"/>
          </rPr>
          <t>Guidance:</t>
        </r>
        <r>
          <rPr>
            <sz val="9"/>
            <color indexed="81"/>
            <rFont val="Tahoma"/>
            <family val="2"/>
          </rPr>
          <t xml:space="preserve"> Management guided annual EPS growth between 15% to 20%. 
</t>
        </r>
        <r>
          <rPr>
            <b/>
            <sz val="9"/>
            <color indexed="81"/>
            <rFont val="Tahoma"/>
            <family val="2"/>
          </rPr>
          <t xml:space="preserve">Source: Investor Day 9/16/2022
</t>
        </r>
        <r>
          <rPr>
            <sz val="9"/>
            <color indexed="81"/>
            <rFont val="Tahoma"/>
            <family val="2"/>
          </rPr>
          <t xml:space="preserve">
Assuming 2022 EPS of $2.88 CAGR of 15% to 20% equates to a 2025 EPS range of $4.38 to $4.98.
</t>
        </r>
      </text>
    </comment>
    <comment ref="L35" authorId="1" shapeId="0" xr:uid="{AB4FDAA9-4959-48FE-9666-FEE49B78AB15}">
      <text>
        <r>
          <rPr>
            <b/>
            <sz val="9"/>
            <color indexed="81"/>
            <rFont val="Tahoma"/>
            <family val="2"/>
          </rPr>
          <t>Note:</t>
        </r>
        <r>
          <rPr>
            <sz val="9"/>
            <color indexed="81"/>
            <rFont val="Tahoma"/>
            <family val="2"/>
          </rPr>
          <t xml:space="preserve"> Management increased the dividend by 14% last year. This year I have entered a 7% increase (half of 14%). If you believe the dividend growth rate will be lower or higher, enter your assumption here.
</t>
        </r>
      </text>
    </comment>
    <comment ref="AL36" authorId="0" shapeId="0" xr:uid="{D9D3DE09-7BEE-4AB8-A70A-B7D06A92B4DE}">
      <text>
        <r>
          <rPr>
            <sz val="9"/>
            <color indexed="81"/>
            <rFont val="Tahoma"/>
            <family val="2"/>
          </rPr>
          <t>Guidance: Management guided dividend payout rate to 50%, approximate dividend yield of 2%, share repurchase impact on EPS 1% (net of incremental interest), adjusted debt-to-EBITDA of 3x, capex of $2.5B to $3.0B, and total return to shareholders of ~$20B. 
Source: Investor Day 9/16/2022
Note: This base-case version of the model attempts to meet the midpoint of the implied range on EPS, and balance the impact of the above items. As a result the exact targets on the long-term goals above goals do not match the guidance exactly. As management discloses additional forecast details in fiscal 2023, these estimates should be adjusted.</t>
        </r>
      </text>
    </comment>
    <comment ref="B40" authorId="0" shapeId="0" xr:uid="{D13CE388-60EB-4EFE-8A28-5DF57898F7F6}">
      <text>
        <r>
          <rPr>
            <sz val="9"/>
            <color indexed="81"/>
            <rFont val="Tahoma"/>
            <family val="2"/>
          </rPr>
          <t xml:space="preserve">In F4Q2021 management re-segmented the Latin America stores to the International Segment, and renamed the Americas Segment "Nor America". F4Q2020 and F4Q2021 have been adjusted to reflect the change. 
</t>
        </r>
      </text>
    </comment>
    <comment ref="Q42" authorId="0" shapeId="0" xr:uid="{09B6BF57-A00F-4701-942B-DDEF2F278300}">
      <text>
        <r>
          <rPr>
            <b/>
            <sz val="9"/>
            <color indexed="81"/>
            <rFont val="Tahoma"/>
            <family val="2"/>
          </rPr>
          <t>Primary Input:</t>
        </r>
        <r>
          <rPr>
            <sz val="9"/>
            <color indexed="81"/>
            <rFont val="Tahoma"/>
            <family val="2"/>
          </rPr>
          <t xml:space="preserve"> If you believe the macroeconomic and competitive landscape  will result in a favorable conditions for the company, consider increaseing the number of new stores over time, for each region. If not decrease the store count. </t>
        </r>
      </text>
    </comment>
    <comment ref="N45" authorId="0" shapeId="0" xr:uid="{C95EC921-4614-4D7F-AAD8-7E81CA846FCB}">
      <text>
        <r>
          <rPr>
            <b/>
            <sz val="9"/>
            <color indexed="81"/>
            <rFont val="Tahoma"/>
            <family val="2"/>
          </rPr>
          <t>-----------Review of Historic Results------------MD&amp;A Comment:</t>
        </r>
        <r>
          <rPr>
            <sz val="9"/>
            <color indexed="81"/>
            <rFont val="Tahoma"/>
            <family val="2"/>
          </rPr>
          <t xml:space="preserve"> Americas total net revenues for the first quarter of fiscal 2021 decreased $308 million, or 6%, primarily due to a 6% decrease in comparable store sales ($242 million) driven by a 21% decrease in transactions, partially offset by a 20% increase in average ticket. These declines were slightly offset by the opening of new company-operated stores ($62 million).
</t>
        </r>
        <r>
          <rPr>
            <b/>
            <sz val="9"/>
            <color indexed="81"/>
            <rFont val="Tahoma"/>
            <family val="2"/>
          </rPr>
          <t>Source:</t>
        </r>
        <r>
          <rPr>
            <sz val="9"/>
            <color indexed="81"/>
            <rFont val="Tahoma"/>
            <family val="2"/>
          </rPr>
          <t xml:space="preserve"> F1Q2021 10-Q
</t>
        </r>
      </text>
    </comment>
    <comment ref="P45" authorId="0" shapeId="0" xr:uid="{C646C335-73C5-402C-A0A8-5B4A81D2B8B4}">
      <text>
        <r>
          <rPr>
            <b/>
            <sz val="9"/>
            <color indexed="81"/>
            <rFont val="Tahoma"/>
            <family val="2"/>
          </rPr>
          <t xml:space="preserve">-----------Review of Historic Results--------
MD&amp;A Comment: </t>
        </r>
        <r>
          <rPr>
            <sz val="9"/>
            <color indexed="81"/>
            <rFont val="Tahoma"/>
            <family val="2"/>
          </rPr>
          <t>Americas total net revenues for the third quarter of fiscal 2021 increased $2.6 billion, or 92%, primarily due to an 84% increase in comparable store sales ($2.1 billion) driven by an 82% increase in transactions and a 1% increase in average ticket, and the opening of new company-operated stores ($172 million). Also contributing to these increases were higher product and equipment sales to and royalty revenues from our licensees ($231 million), primarily due to lapping the severe impact of the COVID-19 pandemic in the prior year, and favorable foreign currency translation ($39 million).</t>
        </r>
        <r>
          <rPr>
            <b/>
            <sz val="9"/>
            <color indexed="81"/>
            <rFont val="Tahoma"/>
            <family val="2"/>
          </rPr>
          <t xml:space="preserve">
Source: </t>
        </r>
        <r>
          <rPr>
            <sz val="9"/>
            <color indexed="81"/>
            <rFont val="Tahoma"/>
            <family val="2"/>
          </rPr>
          <t>F3Q2021 10-Q</t>
        </r>
      </text>
    </comment>
    <comment ref="L49" authorId="1" shapeId="0" xr:uid="{1E817FF1-3D26-4F5E-B284-832AB3A05E46}">
      <text>
        <r>
          <rPr>
            <b/>
            <sz val="9"/>
            <color indexed="81"/>
            <rFont val="Tahoma"/>
            <family val="2"/>
          </rPr>
          <t xml:space="preserve">Primary Input: </t>
        </r>
        <r>
          <rPr>
            <sz val="9"/>
            <color indexed="81"/>
            <rFont val="Tahoma"/>
            <family val="2"/>
          </rPr>
          <t xml:space="preserve">If you believe the SBUX product offerings, macroeconomic and competitive conditions  will benefit the company, increase the Comp Store Sales rate. If not, decrease the rate.
</t>
        </r>
        <r>
          <rPr>
            <b/>
            <sz val="9"/>
            <color indexed="81"/>
            <rFont val="Tahoma"/>
            <family val="2"/>
          </rPr>
          <t xml:space="preserve">
Management Guidance:</t>
        </r>
        <r>
          <rPr>
            <sz val="9"/>
            <color indexed="81"/>
            <rFont val="Tahoma"/>
            <family val="2"/>
          </rPr>
          <t xml:space="preserve"> Americas and U.S. comparable store sales declines of 12% to 17% for each of Q4 and full year.  (previously declines of 10% to 20% for each of Q4 and full year).
</t>
        </r>
        <r>
          <rPr>
            <b/>
            <sz val="9"/>
            <color indexed="81"/>
            <rFont val="Tahoma"/>
            <family val="2"/>
          </rPr>
          <t>Source:</t>
        </r>
        <r>
          <rPr>
            <sz val="9"/>
            <color indexed="81"/>
            <rFont val="Tahoma"/>
            <family val="2"/>
          </rPr>
          <t xml:space="preserve"> F3Q2020 Press Release, July 28, 2020</t>
        </r>
      </text>
    </comment>
    <comment ref="Q49" authorId="0" shapeId="0" xr:uid="{AF64C4EC-E12E-4733-B895-298ACFBB701F}">
      <text>
        <r>
          <rPr>
            <b/>
            <sz val="9"/>
            <color indexed="81"/>
            <rFont val="Tahoma"/>
            <family val="2"/>
          </rPr>
          <t>Primary Input:</t>
        </r>
        <r>
          <rPr>
            <sz val="9"/>
            <color indexed="81"/>
            <rFont val="Tahoma"/>
            <family val="2"/>
          </rPr>
          <t xml:space="preserve"> If you believe the SBUX product offerings, macroeconomic and competitive conditions  will benefit the company, increase the Comp Store Sales rate. If not, decrease the rate.
</t>
        </r>
        <r>
          <rPr>
            <b/>
            <sz val="9"/>
            <color indexed="81"/>
            <rFont val="Tahoma"/>
            <family val="2"/>
          </rPr>
          <t>Management Guidance:</t>
        </r>
        <r>
          <rPr>
            <sz val="9"/>
            <color indexed="81"/>
            <rFont val="Tahoma"/>
            <family val="2"/>
          </rPr>
          <t xml:space="preserve"> 22% to 25%
</t>
        </r>
        <r>
          <rPr>
            <b/>
            <sz val="9"/>
            <color indexed="81"/>
            <rFont val="Tahoma"/>
            <family val="2"/>
          </rPr>
          <t xml:space="preserve">Source: </t>
        </r>
        <r>
          <rPr>
            <sz val="9"/>
            <color indexed="81"/>
            <rFont val="Tahoma"/>
            <family val="2"/>
          </rPr>
          <t>F3Q2021 Press Release</t>
        </r>
      </text>
    </comment>
    <comment ref="N54" authorId="0" shapeId="0" xr:uid="{91D2633A-B3ED-4A08-9693-C4EDD2EC2ECE}">
      <text>
        <r>
          <rPr>
            <b/>
            <sz val="9"/>
            <color indexed="81"/>
            <rFont val="Tahoma"/>
            <family val="2"/>
          </rPr>
          <t xml:space="preserve">-----------Review of Historic Results------------MD&amp;A Comment: </t>
        </r>
        <r>
          <rPr>
            <sz val="9"/>
            <color indexed="81"/>
            <rFont val="Tahoma"/>
            <family val="2"/>
          </rPr>
          <t>Licensed stores revenues declined by $121.1 million, primarily due to lower product and equipment sales to and royalty revenues from our licensees.</t>
        </r>
        <r>
          <rPr>
            <b/>
            <sz val="9"/>
            <color indexed="81"/>
            <rFont val="Tahoma"/>
            <family val="2"/>
          </rPr>
          <t xml:space="preserve">
Source: </t>
        </r>
        <r>
          <rPr>
            <sz val="9"/>
            <color indexed="81"/>
            <rFont val="Tahoma"/>
            <family val="2"/>
          </rPr>
          <t>F1Q2021 10-Q</t>
        </r>
      </text>
    </comment>
    <comment ref="H58" authorId="1" shapeId="0" xr:uid="{2C647AE8-5748-4287-BDD0-059E941A7D49}">
      <text>
        <r>
          <rPr>
            <b/>
            <sz val="9"/>
            <color indexed="81"/>
            <rFont val="Tahoma"/>
            <family val="2"/>
          </rPr>
          <t>3Q2019 Earnings call (7/25/2019) guidance for FY2019:</t>
        </r>
        <r>
          <rPr>
            <sz val="9"/>
            <color indexed="81"/>
            <rFont val="Tahoma"/>
            <family val="2"/>
          </rPr>
          <t xml:space="preserve"> ~2,000 net new Starbucks stores globally
Americas over 600
CAP ~1,100 (nearly 600 in China)
</t>
        </r>
        <r>
          <rPr>
            <u/>
            <sz val="9"/>
            <color indexed="81"/>
            <rFont val="Tahoma"/>
            <family val="2"/>
          </rPr>
          <t>EMEA ~300</t>
        </r>
        <r>
          <rPr>
            <sz val="9"/>
            <color indexed="81"/>
            <rFont val="Tahoma"/>
            <family val="2"/>
          </rPr>
          <t xml:space="preserve"> (virtually all license)</t>
        </r>
        <r>
          <rPr>
            <b/>
            <sz val="9"/>
            <color indexed="81"/>
            <rFont val="Tahoma"/>
            <family val="2"/>
          </rPr>
          <t xml:space="preserve">
Previous Guidance:
2Q2019 Earnings call guidance for FY2019: </t>
        </r>
        <r>
          <rPr>
            <sz val="9"/>
            <color indexed="81"/>
            <rFont val="Tahoma"/>
            <family val="2"/>
          </rPr>
          <t>~2,100 net new Starbucks stores globally
Americas over 600
CAP ~1,100 (nearly 600 in China)
EMEA ~400 (virtually all license)</t>
        </r>
      </text>
    </comment>
    <comment ref="M58" authorId="1" shapeId="0" xr:uid="{B6F565D8-FF35-4875-9FE7-D6CB3D00223C}">
      <text>
        <r>
          <rPr>
            <sz val="9"/>
            <color indexed="81"/>
            <rFont val="Tahoma"/>
            <family val="2"/>
          </rPr>
          <t>M</t>
        </r>
        <r>
          <rPr>
            <b/>
            <sz val="9"/>
            <color indexed="81"/>
            <rFont val="Tahoma"/>
            <family val="2"/>
          </rPr>
          <t>anagement Gudiance:</t>
        </r>
        <r>
          <rPr>
            <sz val="9"/>
            <color indexed="81"/>
            <rFont val="Tahoma"/>
            <family val="2"/>
          </rPr>
          <t xml:space="preserve"> Americas approximately 300 net new stores
</t>
        </r>
        <r>
          <rPr>
            <b/>
            <sz val="9"/>
            <color indexed="81"/>
            <rFont val="Tahoma"/>
            <family val="2"/>
          </rPr>
          <t xml:space="preserve">Source: </t>
        </r>
        <r>
          <rPr>
            <sz val="9"/>
            <color indexed="81"/>
            <rFont val="Tahoma"/>
            <family val="2"/>
          </rPr>
          <t>F3Q2020 Press Release, July 28, 2020</t>
        </r>
      </text>
    </comment>
    <comment ref="R58" authorId="0" shapeId="0" xr:uid="{6AFED209-D0ED-4FD0-A2EC-C8D9B0E88DF1}">
      <text>
        <r>
          <rPr>
            <b/>
            <sz val="9"/>
            <color indexed="81"/>
            <rFont val="Tahoma"/>
            <family val="2"/>
          </rPr>
          <t xml:space="preserve">Management Guidance: </t>
        </r>
        <r>
          <rPr>
            <sz val="9"/>
            <color indexed="81"/>
            <rFont val="Tahoma"/>
            <family val="2"/>
          </rPr>
          <t xml:space="preserve">Approximately flat
</t>
        </r>
        <r>
          <rPr>
            <b/>
            <sz val="9"/>
            <color indexed="81"/>
            <rFont val="Tahoma"/>
            <family val="2"/>
          </rPr>
          <t>Source:</t>
        </r>
        <r>
          <rPr>
            <sz val="9"/>
            <color indexed="81"/>
            <rFont val="Tahoma"/>
            <family val="2"/>
          </rPr>
          <t xml:space="preserve"> F3Q2021 Press Release</t>
        </r>
      </text>
    </comment>
    <comment ref="H72" authorId="1" shapeId="0" xr:uid="{50D38DB2-C4EF-4157-B321-5D2D015FC6D4}">
      <text>
        <r>
          <rPr>
            <b/>
            <sz val="9"/>
            <color indexed="81"/>
            <rFont val="Tahoma"/>
            <family val="2"/>
          </rPr>
          <t xml:space="preserve">F3Q2019 Earnings call (7/25/2019) guidance for FY2019:
</t>
        </r>
        <r>
          <rPr>
            <sz val="9"/>
            <color indexed="81"/>
            <rFont val="Tahoma"/>
            <family val="2"/>
          </rPr>
          <t xml:space="preserve">Consolidated operating margin down moderately
&gt;Americas operating margin up slightly
&gt;CAP operating margin roughly flat
&gt;EMEA operating margin improving over the course of 2019
&gt;Channel Development operating margin mid-30% range
</t>
        </r>
        <r>
          <rPr>
            <b/>
            <sz val="9"/>
            <color indexed="81"/>
            <rFont val="Tahoma"/>
            <family val="2"/>
          </rPr>
          <t xml:space="preserve">
Past Guidance:
F2Q2019 Earnings call guidance for FY2019:
</t>
        </r>
        <r>
          <rPr>
            <sz val="9"/>
            <color indexed="81"/>
            <rFont val="Tahoma"/>
            <family val="2"/>
          </rPr>
          <t xml:space="preserve">Consolidated operating margin down moderately
&gt;Americas operating margin </t>
        </r>
        <r>
          <rPr>
            <u/>
            <sz val="9"/>
            <color indexed="81"/>
            <rFont val="Tahoma"/>
            <family val="2"/>
          </rPr>
          <t>up</t>
        </r>
        <r>
          <rPr>
            <sz val="9"/>
            <color indexed="81"/>
            <rFont val="Tahoma"/>
            <family val="2"/>
          </rPr>
          <t xml:space="preserve"> slightly
&gt;CAP operating margin roughly flat
&gt;EMEA operating margin improving over the course of 2019
&gt;Channel Development operating margin </t>
        </r>
        <r>
          <rPr>
            <u/>
            <sz val="9"/>
            <color indexed="81"/>
            <rFont val="Tahoma"/>
            <family val="2"/>
          </rPr>
          <t>mid-30%</t>
        </r>
        <r>
          <rPr>
            <sz val="9"/>
            <color indexed="81"/>
            <rFont val="Tahoma"/>
            <family val="2"/>
          </rPr>
          <t xml:space="preserve"> range</t>
        </r>
        <r>
          <rPr>
            <b/>
            <sz val="9"/>
            <color indexed="81"/>
            <rFont val="Tahoma"/>
            <family val="2"/>
          </rPr>
          <t xml:space="preserve">
F1Q2019 Earnings call guidance for FY2019:
</t>
        </r>
        <r>
          <rPr>
            <sz val="9"/>
            <color indexed="81"/>
            <rFont val="Tahoma"/>
            <family val="2"/>
          </rPr>
          <t>Consolidated operating margin down moderately
&gt;Americas operating margin down slightly
&gt;CAP operating margin roughly flat
&gt;EMEA operating margin improving over the course of 2019
&gt;Channel Development operating margin high 30% range</t>
        </r>
      </text>
    </comment>
    <comment ref="N72" authorId="0" shapeId="0" xr:uid="{F292C673-F5D4-4EB3-B682-0E4A930738C5}">
      <text>
        <r>
          <rPr>
            <b/>
            <sz val="9"/>
            <color indexed="81"/>
            <rFont val="Tahoma"/>
            <family val="2"/>
          </rPr>
          <t xml:space="preserve">-----------Review of Historic Results------------
MD&amp;A Comment: </t>
        </r>
        <r>
          <rPr>
            <sz val="9"/>
            <color indexed="81"/>
            <rFont val="Tahoma"/>
            <family val="2"/>
          </rPr>
          <t xml:space="preserve">Americas operating income for the first quarter of fiscal 2021 decreased 26% to $814 million, compared to $1.1 billion in the first quarter of fiscal 2020. Operating margin decreased 460 basis points to 17.3%, primarily due to sales deleverage attributed to COVID-19 impacts. In addition, we also incurred additional costs, primarily catastrophe pay programs for retail store partners incurred, net of benefits provided by the CARES Act and CEWS (approximately 40 basis points), and growth in wages and benefits (approximately 200 basis points). Higher restructuring expenses relating to our Americas portfolio optimization (approximately 140 basis points) also contributed to the decrease. Partially offsetting these decreases were improved labor efficiencies (approximately 260 basis points) and pricing (approximately 110 basis points).
</t>
        </r>
        <r>
          <rPr>
            <b/>
            <sz val="9"/>
            <color indexed="81"/>
            <rFont val="Tahoma"/>
            <family val="2"/>
          </rPr>
          <t xml:space="preserve">Source: </t>
        </r>
        <r>
          <rPr>
            <sz val="9"/>
            <color indexed="81"/>
            <rFont val="Tahoma"/>
            <family val="2"/>
          </rPr>
          <t>F1Q2021 10-Q</t>
        </r>
      </text>
    </comment>
    <comment ref="O72" authorId="1" shapeId="0" xr:uid="{A92624A8-CB73-4426-A84C-B08B459A27A4}">
      <text>
        <r>
          <rPr>
            <b/>
            <sz val="9"/>
            <color indexed="81"/>
            <rFont val="Tahoma"/>
            <family val="2"/>
          </rPr>
          <t xml:space="preserve">Comment from F3Q2020 Earnings Call: </t>
        </r>
        <r>
          <rPr>
            <sz val="9"/>
            <color indexed="81"/>
            <rFont val="Tahoma"/>
            <family val="2"/>
          </rPr>
          <t>"We anticipate that comparable store sales will substantially recover in China and the US in fiscal 2021 by the end of our first and second quarters, respectively. Additionally, we expect that margin recovery for each business will trail sales recovery by about two quarters."</t>
        </r>
      </text>
    </comment>
    <comment ref="P72" authorId="0" shapeId="0" xr:uid="{1C91CFD1-4797-4357-9D70-0C991A3EC8A3}">
      <text>
        <r>
          <rPr>
            <b/>
            <sz val="9"/>
            <color indexed="81"/>
            <rFont val="Tahoma"/>
            <family val="2"/>
          </rPr>
          <t>-----------Review of Historic Results--------
MD&amp;A Comment:</t>
        </r>
        <r>
          <rPr>
            <sz val="9"/>
            <color indexed="81"/>
            <rFont val="Tahoma"/>
            <family val="2"/>
          </rPr>
          <t xml:space="preserve"> Americas operating income for the third quarter of fiscal 2021 was $1.3 billion, compared to a loss of $405 million in the third quarter of fiscal 2020. Operating margin increased 3,880 basis points to 24.4%, primarily due to sales leverage from business recovery and lapping higher COVID-19 related costs in the prior year, mainly catastrophe and service pay for store partners, net of temporary subsidies provided by the CARES Act and CEWS (approximately 930 basis points). Also contributing to the margin improvements were lower restructuring expenses (approximately 160 basis points), pricing (approximately 150 basis points) and benefits from the closure of lower-performing stores (approximately 80 basis points). These increases were partially offset by additional investments in retail store partners wages and benefits (approximately 110 basis points) and increased supply chain costs attributed to inflation (approximately 70 basis points).</t>
        </r>
        <r>
          <rPr>
            <b/>
            <sz val="9"/>
            <color indexed="81"/>
            <rFont val="Tahoma"/>
            <family val="2"/>
          </rPr>
          <t xml:space="preserve">
Source: </t>
        </r>
        <r>
          <rPr>
            <sz val="9"/>
            <color indexed="81"/>
            <rFont val="Tahoma"/>
            <family val="2"/>
          </rPr>
          <t>F3Q2021 10-Q</t>
        </r>
      </text>
    </comment>
    <comment ref="F75" authorId="1" shapeId="0" xr:uid="{A953A4ED-0B5D-49B2-95D7-7A2AA8D31094}">
      <text>
        <r>
          <rPr>
            <b/>
            <sz val="9"/>
            <color indexed="81"/>
            <rFont val="Tahoma"/>
            <family val="2"/>
          </rPr>
          <t xml:space="preserve">Primary Input: </t>
        </r>
        <r>
          <rPr>
            <sz val="9"/>
            <color indexed="81"/>
            <rFont val="Tahoma"/>
            <family val="2"/>
          </rPr>
          <t>Similar comment as with the Americas Region above.</t>
        </r>
        <r>
          <rPr>
            <b/>
            <sz val="9"/>
            <color indexed="81"/>
            <rFont val="Tahoma"/>
            <family val="2"/>
          </rPr>
          <t xml:space="preserve">
</t>
        </r>
      </text>
    </comment>
    <comment ref="N78" authorId="0" shapeId="0" xr:uid="{87006335-97D2-42B0-AE61-A4AD6989298A}">
      <text>
        <r>
          <rPr>
            <b/>
            <sz val="9"/>
            <color indexed="81"/>
            <rFont val="Tahoma"/>
            <family val="2"/>
          </rPr>
          <t xml:space="preserve">-----------Review of Historic Results------------MD&amp;A Comment: </t>
        </r>
        <r>
          <rPr>
            <sz val="9"/>
            <color indexed="81"/>
            <rFont val="Tahoma"/>
            <family val="2"/>
          </rPr>
          <t>International total net revenues for the first quarter of fiscal 2021 increased $83 million, or 5%. Company-operated store revenues increased $132 million, primarily driven by 658 net new Starbucks company-operated stores, or an 11% increase, over the past 12 months ($108 million) and favorable foreign currency translation ($71 million). These were partially offset by a 3% decline in comparable store sales ($37 million), driven by a 10% decrease in transactions, partially offset by an 8% increase in average ticket.</t>
        </r>
        <r>
          <rPr>
            <b/>
            <sz val="9"/>
            <color indexed="81"/>
            <rFont val="Tahoma"/>
            <family val="2"/>
          </rPr>
          <t xml:space="preserve">
Source: </t>
        </r>
        <r>
          <rPr>
            <sz val="9"/>
            <color indexed="81"/>
            <rFont val="Tahoma"/>
            <family val="2"/>
          </rPr>
          <t>F1Q2021 10-Q</t>
        </r>
      </text>
    </comment>
    <comment ref="P78" authorId="0" shapeId="0" xr:uid="{E6E3ABD8-3DB1-4D8F-A50B-415155DC2F9E}">
      <text>
        <r>
          <rPr>
            <b/>
            <sz val="9"/>
            <color indexed="81"/>
            <rFont val="Tahoma"/>
            <family val="2"/>
          </rPr>
          <t xml:space="preserve">-----------Review of Historic Results--------
MD&amp;A Comment: </t>
        </r>
        <r>
          <rPr>
            <sz val="9"/>
            <color indexed="81"/>
            <rFont val="Tahoma"/>
            <family val="2"/>
          </rPr>
          <t>International total net revenues for the third quarter of fiscal 2021 increased $709 million, or 75%. Company-operated store revenues increased $558 million, primarily due to a 41% increase in comparable store sales ($373 million), driven by a 55% increase in transactions, partially offset by a 9% decrease in average ticket. Additionally there were 761 net new stores, a 12% increase, over the past 12 months ($96 million). Also contributing to the increase in net revenues were
higher product and equipment sales to and royalty revenues from our licensees ($135 million) and favorable foreign currency translation ($94 million)</t>
        </r>
        <r>
          <rPr>
            <b/>
            <sz val="9"/>
            <color indexed="81"/>
            <rFont val="Tahoma"/>
            <family val="2"/>
          </rPr>
          <t xml:space="preserve">
Source: </t>
        </r>
        <r>
          <rPr>
            <sz val="9"/>
            <color indexed="81"/>
            <rFont val="Tahoma"/>
            <family val="2"/>
          </rPr>
          <t>F3Q2021 10-Q</t>
        </r>
      </text>
    </comment>
    <comment ref="F82" authorId="1" shapeId="0" xr:uid="{ED06D5CF-BDC4-4E2F-84B8-7452FC5F7B87}">
      <text>
        <r>
          <rPr>
            <b/>
            <sz val="9"/>
            <color indexed="81"/>
            <rFont val="Tahoma"/>
            <family val="2"/>
          </rPr>
          <t xml:space="preserve">Primary Input: </t>
        </r>
        <r>
          <rPr>
            <sz val="9"/>
            <color indexed="81"/>
            <rFont val="Tahoma"/>
            <family val="2"/>
          </rPr>
          <t>Similar comment as with the Americas Region above (also remember that U.S. Dollar strength is a headwind for SBUX).</t>
        </r>
      </text>
    </comment>
    <comment ref="L82" authorId="1" shapeId="0" xr:uid="{EAFA7DF1-64FD-4EB2-80A6-D776739FC1D1}">
      <text>
        <r>
          <rPr>
            <b/>
            <sz val="9"/>
            <color indexed="81"/>
            <rFont val="Tahoma"/>
            <family val="2"/>
          </rPr>
          <t>Primary Input:</t>
        </r>
        <r>
          <rPr>
            <sz val="9"/>
            <color indexed="81"/>
            <rFont val="Tahoma"/>
            <family val="2"/>
          </rPr>
          <t xml:space="preserve"> If you believe the SBUX product offerings, macroeconomic and competitive conditions  will benefit the company, increase the Comp Store Sales rate. If not, decrease the rate.
</t>
        </r>
        <r>
          <rPr>
            <b/>
            <sz val="9"/>
            <color indexed="81"/>
            <rFont val="Tahoma"/>
            <family val="2"/>
          </rPr>
          <t xml:space="preserve">Management Guidance: </t>
        </r>
        <r>
          <rPr>
            <sz val="9"/>
            <color indexed="81"/>
            <rFont val="Tahoma"/>
            <family val="2"/>
          </rPr>
          <t xml:space="preserve">International comparable store sales declines of 10% to 15% for Q4 and 20% to 25% for full year inclusive of a benefit from value-added tax exemption of approximately 3% and 1%, respectively  (previously declines of 10% to 20% for Q4 and 20% to 30% for full year).
</t>
        </r>
        <r>
          <rPr>
            <b/>
            <sz val="9"/>
            <color indexed="81"/>
            <rFont val="Tahoma"/>
            <family val="2"/>
          </rPr>
          <t xml:space="preserve">Source: </t>
        </r>
        <r>
          <rPr>
            <sz val="9"/>
            <color indexed="81"/>
            <rFont val="Tahoma"/>
            <family val="2"/>
          </rPr>
          <t xml:space="preserve">F3Q2020 Press Release, July 28, 2020
</t>
        </r>
        <r>
          <rPr>
            <b/>
            <sz val="9"/>
            <color indexed="81"/>
            <rFont val="Tahoma"/>
            <family val="2"/>
          </rPr>
          <t xml:space="preserve">Comment from F3Q2020 Earnings Call: </t>
        </r>
        <r>
          <rPr>
            <sz val="9"/>
            <color indexed="81"/>
            <rFont val="Tahoma"/>
            <family val="2"/>
          </rPr>
          <t xml:space="preserve">"Moving on to our International segment, with the expectation of COVID-19 impacts continuing to ease in the fourth quarter, particularly in Japan, we now expect International's comparable store sales to decline between 10% and 15% in Q4, including a 3% favorable VAT impact. For China specifically, we expect Q4 comparable store sales to range between flat and minus 5%.
Although this is generally in line with our previous guidance and now reflects both a new tailwind and a new headwind, the new tailwind is the temporary VAT exemption which I mentioned earlier, benefiting China's fourth quarter comp sales growth by about 4 percentage points. The new headwind is a combination of factors. First, COVID-related emergency response measures in Beijing where Starbucks currently has over 360 locations. And second, a prolonged slowdown in international and domestic travel, impacting Starbucks locations at China's airports and tourist venues. We expect the VAT exemption will expire at the end of December"
</t>
        </r>
      </text>
    </comment>
    <comment ref="Q82" authorId="0" shapeId="0" xr:uid="{740E6F76-2598-4008-A244-3262B924840C}">
      <text>
        <r>
          <rPr>
            <b/>
            <sz val="9"/>
            <color indexed="81"/>
            <rFont val="Tahoma"/>
            <family val="2"/>
          </rPr>
          <t>Primary Input:</t>
        </r>
        <r>
          <rPr>
            <sz val="9"/>
            <color indexed="81"/>
            <rFont val="Tahoma"/>
            <family val="2"/>
          </rPr>
          <t xml:space="preserve"> If you believe the SBUX product offerings, macroeconomic and competitive conditions  will benefit the company, increase the Comp Store Sales rate. If not, decrease the rate.
</t>
        </r>
        <r>
          <rPr>
            <b/>
            <sz val="9"/>
            <color indexed="81"/>
            <rFont val="Tahoma"/>
            <family val="2"/>
          </rPr>
          <t xml:space="preserve">Management Guidance: </t>
        </r>
        <r>
          <rPr>
            <sz val="9"/>
            <color indexed="81"/>
            <rFont val="Tahoma"/>
            <family val="2"/>
          </rPr>
          <t xml:space="preserve"> Mid to high single digits.
</t>
        </r>
        <r>
          <rPr>
            <b/>
            <sz val="9"/>
            <color indexed="81"/>
            <rFont val="Tahoma"/>
            <family val="2"/>
          </rPr>
          <t xml:space="preserve">Source: </t>
        </r>
        <r>
          <rPr>
            <sz val="9"/>
            <color indexed="81"/>
            <rFont val="Tahoma"/>
            <family val="2"/>
          </rPr>
          <t>F3Q2021 Press Release</t>
        </r>
      </text>
    </comment>
    <comment ref="M84" authorId="1" shapeId="0" xr:uid="{6A723FD1-91B5-4CB2-8E00-A32F158F1E7F}">
      <text>
        <r>
          <rPr>
            <b/>
            <sz val="9"/>
            <color indexed="81"/>
            <rFont val="Tahoma"/>
            <family val="2"/>
          </rPr>
          <t xml:space="preserve">Management Gudiance: </t>
        </r>
        <r>
          <rPr>
            <sz val="9"/>
            <color indexed="81"/>
            <rFont val="Tahoma"/>
            <family val="2"/>
          </rPr>
          <t>Management does not provide guidance for the entire International segment, but did guide China to at least 300 net new stores.</t>
        </r>
        <r>
          <rPr>
            <b/>
            <sz val="9"/>
            <color indexed="81"/>
            <rFont val="Tahoma"/>
            <family val="2"/>
          </rPr>
          <t xml:space="preserve">
Source: </t>
        </r>
        <r>
          <rPr>
            <sz val="9"/>
            <color indexed="81"/>
            <rFont val="Tahoma"/>
            <family val="2"/>
          </rPr>
          <t>F3Q2020 Press Release, July 28, 2020</t>
        </r>
      </text>
    </comment>
    <comment ref="K86" authorId="1" shapeId="0" xr:uid="{DD09CD97-AF34-4F17-B77D-BC388904A9DA}">
      <text>
        <r>
          <rPr>
            <b/>
            <sz val="9"/>
            <color indexed="81"/>
            <rFont val="Tahoma"/>
            <family val="2"/>
          </rPr>
          <t>Comment from F3Q2020 Earnings Call:</t>
        </r>
        <r>
          <rPr>
            <sz val="9"/>
            <color indexed="81"/>
            <rFont val="Tahoma"/>
            <family val="2"/>
          </rPr>
          <t xml:space="preserve"> "Also contributing to the decline were lower product sales to our licensees as a result of lost sales related to the COVID-19 outbreak as well as temporary royalty relief that we granted our international licensees. And there was an additional 2% revenue dilutive impact of transitioning our Thailand business to licensed operations last year."</t>
        </r>
      </text>
    </comment>
    <comment ref="N87" authorId="0" shapeId="0" xr:uid="{4A1222F3-D5EE-45ED-A176-7ECEDD47D5EB}">
      <text>
        <r>
          <rPr>
            <b/>
            <sz val="9"/>
            <color indexed="81"/>
            <rFont val="Tahoma"/>
            <family val="2"/>
          </rPr>
          <t>-----------Review of Historic Results--------MD&amp;A Comment:</t>
        </r>
        <r>
          <rPr>
            <sz val="9"/>
            <color indexed="81"/>
            <rFont val="Tahoma"/>
            <family val="2"/>
          </rPr>
          <t xml:space="preserve"> Licensed stores revenues declined by $57.1 million, primarily due to lower product and equipment sales to and royalty revenues from our licensees.
</t>
        </r>
        <r>
          <rPr>
            <b/>
            <sz val="9"/>
            <color indexed="81"/>
            <rFont val="Tahoma"/>
            <family val="2"/>
          </rPr>
          <t>Source:</t>
        </r>
        <r>
          <rPr>
            <sz val="9"/>
            <color indexed="81"/>
            <rFont val="Tahoma"/>
            <family val="2"/>
          </rPr>
          <t xml:space="preserve"> F1Q2021 10-Q</t>
        </r>
      </text>
    </comment>
    <comment ref="R91" authorId="0" shapeId="0" xr:uid="{F91074B3-1699-4885-A505-94BC692FC4DD}">
      <text>
        <r>
          <rPr>
            <b/>
            <sz val="9"/>
            <color indexed="81"/>
            <rFont val="Tahoma"/>
            <family val="2"/>
          </rPr>
          <t xml:space="preserve">Management Guidance: </t>
        </r>
        <r>
          <rPr>
            <sz val="9"/>
            <color indexed="81"/>
            <rFont val="Tahoma"/>
            <family val="2"/>
          </rPr>
          <t xml:space="preserve">Approximately 1,100 net new stores.
</t>
        </r>
        <r>
          <rPr>
            <b/>
            <sz val="9"/>
            <color indexed="81"/>
            <rFont val="Tahoma"/>
            <family val="2"/>
          </rPr>
          <t>Source:</t>
        </r>
        <r>
          <rPr>
            <sz val="9"/>
            <color indexed="81"/>
            <rFont val="Tahoma"/>
            <family val="2"/>
          </rPr>
          <t xml:space="preserve"> F3Q2021 Press Release</t>
        </r>
      </text>
    </comment>
    <comment ref="N106" authorId="0" shapeId="0" xr:uid="{772C37A7-4F18-421A-8B9A-92C75B697533}">
      <text>
        <r>
          <rPr>
            <b/>
            <sz val="9"/>
            <color indexed="81"/>
            <rFont val="Tahoma"/>
            <family val="2"/>
          </rPr>
          <t>-----------Review of Historic Results------------
MD&amp;A Comment:</t>
        </r>
        <r>
          <rPr>
            <sz val="9"/>
            <color indexed="81"/>
            <rFont val="Tahoma"/>
            <family val="2"/>
          </rPr>
          <t xml:space="preserve"> International operating income for the first quarter of fiscal 2021 was $275 million, compared to $276 million in the first quarter of fiscal 2020. Operating margin decreased 100 basis points to 16.6%, primarily due to sales deleverage attributable to COVID-19, as well as additional costs incurred to invest in partner wages and benefits (approximately 70 basis points). These were partially offset by labor efficiencies (approximately 80 basis points).</t>
        </r>
        <r>
          <rPr>
            <b/>
            <sz val="9"/>
            <color indexed="81"/>
            <rFont val="Tahoma"/>
            <family val="2"/>
          </rPr>
          <t xml:space="preserve">
Source:</t>
        </r>
        <r>
          <rPr>
            <sz val="9"/>
            <color indexed="81"/>
            <rFont val="Tahoma"/>
            <family val="2"/>
          </rPr>
          <t xml:space="preserve"> F1Q2021 10-Q</t>
        </r>
      </text>
    </comment>
    <comment ref="O106" authorId="1" shapeId="0" xr:uid="{89F63BC5-D3E0-4DAF-AD26-A4E49E5DE132}">
      <text>
        <r>
          <rPr>
            <b/>
            <sz val="9"/>
            <color indexed="81"/>
            <rFont val="Tahoma"/>
            <family val="2"/>
          </rPr>
          <t>Comment from F3Q2020 Earnings Call:</t>
        </r>
        <r>
          <rPr>
            <sz val="9"/>
            <color indexed="81"/>
            <rFont val="Tahoma"/>
            <family val="2"/>
          </rPr>
          <t xml:space="preserve"> "We anticipate that comparable store sales will substantially recover in China and the US in fiscal 2021 by the end of our first and second quarters, respectively. Additionally, we expect that margin recovery for each business will trail sales recovery by about two quarters."</t>
        </r>
      </text>
    </comment>
    <comment ref="P106" authorId="0" shapeId="0" xr:uid="{D74EE8AF-F9C2-4E71-B8AC-7D389B8A4A21}">
      <text>
        <r>
          <rPr>
            <b/>
            <sz val="9"/>
            <color indexed="81"/>
            <rFont val="Tahoma"/>
            <family val="2"/>
          </rPr>
          <t xml:space="preserve">-----------Review of Historic Results--------
MD&amp;A Comment: </t>
        </r>
        <r>
          <rPr>
            <sz val="9"/>
            <color indexed="81"/>
            <rFont val="Tahoma"/>
            <family val="2"/>
          </rPr>
          <t>International operating income for the third quarter of fiscal 2021 was $318 million, compared to a loss of $86 million in the third quarter of fiscal 2020. Operating margin increased 2,830 basis points to 19.2%, primarily due to sales leverage driven by lapping the severe impact of the COVID-19 pandemic in the prior year as well labor efficiencies (approximately 310 basis points). Also contributing to this increase was lower catastrophe pay (approximately 290 basis points), lapping
temporary royalty relief provided to licensees in the prior year (approximately 230 basis points) and higher temporary government subsidies approximately 200 basis points).</t>
        </r>
        <r>
          <rPr>
            <b/>
            <sz val="9"/>
            <color indexed="81"/>
            <rFont val="Tahoma"/>
            <family val="2"/>
          </rPr>
          <t xml:space="preserve">
Source: </t>
        </r>
        <r>
          <rPr>
            <sz val="9"/>
            <color indexed="81"/>
            <rFont val="Tahoma"/>
            <family val="2"/>
          </rPr>
          <t>F3Q2021 10-Q</t>
        </r>
      </text>
    </comment>
    <comment ref="B107" authorId="1" shapeId="0" xr:uid="{72B03F59-A7D1-4EF1-B682-A2AFC50726E8}">
      <text>
        <r>
          <rPr>
            <b/>
            <sz val="9"/>
            <color indexed="81"/>
            <rFont val="Tahoma"/>
            <family val="2"/>
          </rPr>
          <t xml:space="preserve">Description of Channel Development Segment from 10-K: </t>
        </r>
        <r>
          <rPr>
            <sz val="9"/>
            <color indexed="81"/>
            <rFont val="Tahoma"/>
            <family val="2"/>
          </rPr>
          <t xml:space="preserve">"Our Channel Development segment includes roasted whole bean and ground coffees, Seattle's Best Coffee®, Starbucks- and Teavana-branded single-serve
products, a variety of ready-to-drink beverages, such as Frappuccino®, Starbucks Doubleshot®, Starbucks Refreshers® beverages and TeavanaTM/MC iced tea, and other branded products sold worldwide outside of our company-operated and licensed stores. Historically our consumer packaged goods ("CPG") have been sold directly to grocery, warehouse club and specialty retail stores and through institutional foodservice companies. With the establishment of the Global Coffee Alliance with Nestlé, a large portion of our Channel Development business transitioned to a licensed model in the fourth quarter of fiscal 2018. Our collaborative relationships with PepsiCo, Inc., Anheuser-Busch InBev, Tingyi Holding Corp., Arla Foods and others for our global ready-to-drink beverage businesses in this segment are excluded from the Global Coffee Alliance."
</t>
        </r>
      </text>
    </comment>
    <comment ref="K108" authorId="1" shapeId="0" xr:uid="{54BF9E65-8CFB-4DB1-9029-208FBAAB2DAF}">
      <text>
        <r>
          <rPr>
            <b/>
            <sz val="9"/>
            <color indexed="81"/>
            <rFont val="Tahoma"/>
            <family val="2"/>
          </rPr>
          <t>Comment from F3Q2020 Earnings Call: "</t>
        </r>
        <r>
          <rPr>
            <sz val="9"/>
            <color indexed="81"/>
            <rFont val="Tahoma"/>
            <family val="2"/>
          </rPr>
          <t xml:space="preserve">When normalizing for the 21% unfavorable impact of lapping Global Coffee Alliance transition-related items that benefited the prior year including higher inventory sales as Nestlé prepared to fulfill customer orders"...based on the fact that the high revenue mark in F3Q2019 was due in part to higher inventory sales, the F3Q2021 revenue will probably be somewhat below this level.
</t>
        </r>
      </text>
    </comment>
    <comment ref="N108" authorId="0" shapeId="0" xr:uid="{60AB5124-7E65-4E97-87B6-5CD7E6BCE6DF}">
      <text>
        <r>
          <rPr>
            <b/>
            <sz val="9"/>
            <color indexed="81"/>
            <rFont val="Tahoma"/>
            <family val="2"/>
          </rPr>
          <t>-----------Review of Historic Results------------
MD&amp;A Comment:</t>
        </r>
        <r>
          <rPr>
            <sz val="9"/>
            <color indexed="81"/>
            <rFont val="Tahoma"/>
            <family val="2"/>
          </rPr>
          <t xml:space="preserve"> Channel Development total net revenues for the first quarter of fiscal 2021 decreased $123 million, or 25%, primarily due to the transition of certain single-serve product activities to Nestlé ($91 million) and lapping of transition activities related to the Global Coffee Alliance ($21 million). Also contributing were lower Global Coffee Alliance revenues ($18 million), mainly driven by the Foodservice business, which experienced softening due to COVID-19. These were partially offset by growth in at-home coffee and our ready-to-drink business.
</t>
        </r>
        <r>
          <rPr>
            <b/>
            <sz val="9"/>
            <color indexed="81"/>
            <rFont val="Tahoma"/>
            <family val="2"/>
          </rPr>
          <t>Source:</t>
        </r>
        <r>
          <rPr>
            <sz val="9"/>
            <color indexed="81"/>
            <rFont val="Tahoma"/>
            <family val="2"/>
          </rPr>
          <t xml:space="preserve"> F1Q2021 10-Q</t>
        </r>
      </text>
    </comment>
    <comment ref="P108" authorId="0" shapeId="0" xr:uid="{6B7E3914-11DD-446A-A9F1-40F5B7806368}">
      <text>
        <r>
          <rPr>
            <b/>
            <sz val="9"/>
            <color indexed="81"/>
            <rFont val="Tahoma"/>
            <family val="2"/>
          </rPr>
          <t xml:space="preserve">-----------Review of Historic Results--------
MD&amp;A Comment: </t>
        </r>
        <r>
          <rPr>
            <sz val="9"/>
            <color indexed="81"/>
            <rFont val="Tahoma"/>
            <family val="2"/>
          </rPr>
          <t>Channel Development total net revenues for the third quarter of fiscal 2021 decreased $33 million, or 7%, primarily due to the transition of certain single-serve product activities to Nestlé ($74 million). This was partially offset by higher product sales and royalty revenue in the Global Coffee Alliance ($30 million) and growth in our ready-to-drink business. We expect the impacts from the transition to be substantially completed by the end of fiscal 2021</t>
        </r>
        <r>
          <rPr>
            <b/>
            <sz val="9"/>
            <color indexed="81"/>
            <rFont val="Tahoma"/>
            <family val="2"/>
          </rPr>
          <t xml:space="preserve">
Source: </t>
        </r>
        <r>
          <rPr>
            <sz val="9"/>
            <color indexed="81"/>
            <rFont val="Tahoma"/>
            <family val="2"/>
          </rPr>
          <t>F3Q2021 10-Q</t>
        </r>
      </text>
    </comment>
    <comment ref="R108" authorId="0" shapeId="0" xr:uid="{C33778FF-3BB0-412F-BEA2-7AD2E1312820}">
      <text>
        <r>
          <rPr>
            <b/>
            <sz val="9"/>
            <color indexed="81"/>
            <rFont val="Tahoma"/>
            <family val="2"/>
          </rPr>
          <t xml:space="preserve">Management Guidance: </t>
        </r>
        <r>
          <rPr>
            <sz val="9"/>
            <color indexed="81"/>
            <rFont val="Tahoma"/>
            <family val="2"/>
          </rPr>
          <t xml:space="preserve">Channel Development revenue of $1.5 billion to $1.6 billion
</t>
        </r>
        <r>
          <rPr>
            <b/>
            <sz val="9"/>
            <color indexed="81"/>
            <rFont val="Tahoma"/>
            <family val="2"/>
          </rPr>
          <t>Source:</t>
        </r>
        <r>
          <rPr>
            <sz val="9"/>
            <color indexed="81"/>
            <rFont val="Tahoma"/>
            <family val="2"/>
          </rPr>
          <t xml:space="preserve"> F3Q2021 Press Release</t>
        </r>
      </text>
    </comment>
    <comment ref="M109" authorId="1" shapeId="0" xr:uid="{E05FA952-202C-47D0-9BAF-F18BDF4EB00D}">
      <text>
        <r>
          <rPr>
            <b/>
            <sz val="9"/>
            <color indexed="81"/>
            <rFont val="Tahoma"/>
            <family val="2"/>
          </rPr>
          <t xml:space="preserve">Management Gudiance: </t>
        </r>
        <r>
          <rPr>
            <sz val="9"/>
            <color indexed="81"/>
            <rFont val="Tahoma"/>
            <family val="2"/>
          </rPr>
          <t xml:space="preserve">Channel Development revenue decline of 5% to 6% for full year.
</t>
        </r>
        <r>
          <rPr>
            <b/>
            <sz val="9"/>
            <color indexed="81"/>
            <rFont val="Tahoma"/>
            <family val="2"/>
          </rPr>
          <t>Source:</t>
        </r>
        <r>
          <rPr>
            <sz val="9"/>
            <color indexed="81"/>
            <rFont val="Tahoma"/>
            <family val="2"/>
          </rPr>
          <t xml:space="preserve"> F3Q2020 Press Release, July 28, 2020</t>
        </r>
      </text>
    </comment>
    <comment ref="N120" authorId="0" shapeId="0" xr:uid="{472C5EC2-176C-4B51-840A-22F5F079D036}">
      <text>
        <r>
          <rPr>
            <b/>
            <sz val="9"/>
            <color indexed="81"/>
            <rFont val="Tahoma"/>
            <family val="2"/>
          </rPr>
          <t>-----------Review of Historic Results------------
MD&amp;A Comment:</t>
        </r>
        <r>
          <rPr>
            <sz val="9"/>
            <color indexed="81"/>
            <rFont val="Tahoma"/>
            <family val="2"/>
          </rPr>
          <t xml:space="preserve"> Channel Development operating income for the first quarter of fiscal 2021 increased 3% to $181 million, compared to $176 million in the first quarter of fiscal 2020. Operating margin increased 1,320 basis points to 48.7%, primarily due to the transfer of certain single-serve products to Nestlé as part of the Global Coffee Alliance (approximately 820 basis points). Strong performance from our North American Coffee Partnership joint venture also contributed.
</t>
        </r>
        <r>
          <rPr>
            <b/>
            <sz val="9"/>
            <color indexed="81"/>
            <rFont val="Tahoma"/>
            <family val="2"/>
          </rPr>
          <t>Source:</t>
        </r>
        <r>
          <rPr>
            <sz val="9"/>
            <color indexed="81"/>
            <rFont val="Tahoma"/>
            <family val="2"/>
          </rPr>
          <t xml:space="preserve"> F1Q2021 10-Q</t>
        </r>
      </text>
    </comment>
    <comment ref="P120" authorId="0" shapeId="0" xr:uid="{4C8D1530-34A8-4A5B-B35C-22D82759E018}">
      <text>
        <r>
          <rPr>
            <b/>
            <sz val="9"/>
            <color indexed="81"/>
            <rFont val="Tahoma"/>
            <family val="2"/>
          </rPr>
          <t>-----------Review of Historic Results--------
MD&amp;A Comment:</t>
        </r>
        <r>
          <rPr>
            <sz val="9"/>
            <color indexed="81"/>
            <rFont val="Tahoma"/>
            <family val="2"/>
          </rPr>
          <t xml:space="preserve"> Channel Development operating income for the third quarter of fiscal 2021 increased 74% to $216 million, compared to $124 million in the third quarter of fiscal 2020. Operating margin increased 2,440 basis points to 52.2%, primarily due to lower Global Coffee Alliance transaction costs, inclusive of lapping certain transition items from prior year (approximately 780 basis points) and a change in estimate relating to a transaction cost accrual (approximately 550 basis points), as well as the transfer of certain single-serve products to Nestlé as part of the Global Coffee Alliance (approximately 700 basis points). Strong performance from our
North American Coffee Partnership joint venture also contributed</t>
        </r>
        <r>
          <rPr>
            <b/>
            <sz val="9"/>
            <color indexed="81"/>
            <rFont val="Tahoma"/>
            <family val="2"/>
          </rPr>
          <t xml:space="preserve">
Source: </t>
        </r>
        <r>
          <rPr>
            <sz val="9"/>
            <color indexed="81"/>
            <rFont val="Tahoma"/>
            <family val="2"/>
          </rPr>
          <t>F3Q2021 10-Q</t>
        </r>
      </text>
    </comment>
    <comment ref="H121" authorId="1" shapeId="0" xr:uid="{D4C0519E-2BA2-4727-9D1E-1D8A6013BAC7}">
      <text>
        <r>
          <rPr>
            <b/>
            <sz val="9"/>
            <color indexed="81"/>
            <rFont val="Tahoma"/>
            <family val="2"/>
          </rPr>
          <t xml:space="preserve">F3Q2019 Earnings call (7/25/2019) guidance for FY2019:
</t>
        </r>
        <r>
          <rPr>
            <sz val="9"/>
            <color indexed="81"/>
            <rFont val="Tahoma"/>
            <family val="2"/>
          </rPr>
          <t>Consolidated operating margin down moderately
&gt;Americas operating margin up slightly
&gt;CAP operating margin roughly flat
&gt;EMEA operating margin improving over the course of 2019
&gt;Channel Development operating margin mid-30% range</t>
        </r>
        <r>
          <rPr>
            <b/>
            <sz val="9"/>
            <color indexed="81"/>
            <rFont val="Tahoma"/>
            <family val="2"/>
          </rPr>
          <t xml:space="preserve">
Past Guidance:
F2Q2019 Earnings call guidance for FY2019:
</t>
        </r>
        <r>
          <rPr>
            <sz val="9"/>
            <color indexed="81"/>
            <rFont val="Tahoma"/>
            <family val="2"/>
          </rPr>
          <t>Consolidated operating margin down moderately
&gt;Americas operating margin up slightly
&gt;CAP operating margin roughly flat
&gt;EMEA operating margin improving over the course of 2019
&gt;Channel Development operating margin mid-30% range</t>
        </r>
        <r>
          <rPr>
            <b/>
            <sz val="9"/>
            <color indexed="81"/>
            <rFont val="Tahoma"/>
            <family val="2"/>
          </rPr>
          <t xml:space="preserve">
F1Q2019 Earnings call guidance for FY2019:
</t>
        </r>
        <r>
          <rPr>
            <sz val="9"/>
            <color indexed="81"/>
            <rFont val="Tahoma"/>
            <family val="2"/>
          </rPr>
          <t>Consolidated operating margin down moderately
&gt;Americas operating margin down slightly
&gt;CAP operating margin roughly flat
&gt;EMEA operating margin improving over the course of 2019
&gt;Channel Development operating margin high 30% range</t>
        </r>
      </text>
    </comment>
    <comment ref="K121" authorId="1" shapeId="0" xr:uid="{F66B0957-E63A-4A36-A652-47F532E61AC5}">
      <text>
        <r>
          <rPr>
            <b/>
            <sz val="9"/>
            <color indexed="81"/>
            <rFont val="Tahoma"/>
            <family val="2"/>
          </rPr>
          <t>Comment from F3Q2020 Earnings Call: "</t>
        </r>
        <r>
          <rPr>
            <sz val="9"/>
            <color indexed="81"/>
            <rFont val="Tahoma"/>
            <family val="2"/>
          </rPr>
          <t>Normalizing for the 460 basis point impact of the transition activities I just mentioned, Channel Development's non-GAAP operating margin contracted 340 basis points in Q3. The contraction was due primarily to a business mix shift within Channel Development as well as deleverage on fixed coffee manufacturing costs shared across the company's operating segments driven by lower retail production volumes resulting from COVID-19."</t>
        </r>
      </text>
    </comment>
    <comment ref="N131" authorId="0" shapeId="0" xr:uid="{7DB27DC9-B047-482F-A79E-6A72BA9B1B16}">
      <text>
        <r>
          <rPr>
            <b/>
            <sz val="9"/>
            <color indexed="81"/>
            <rFont val="Tahoma"/>
            <family val="2"/>
          </rPr>
          <t xml:space="preserve">-----------Review of Historic Results------------
MD&amp;A Comment: </t>
        </r>
        <r>
          <rPr>
            <sz val="9"/>
            <color indexed="81"/>
            <rFont val="Tahoma"/>
            <family val="2"/>
          </rPr>
          <t>Corporate and Other primarily consists of our unallocated corporate expenses, as well as Evolution Fresh. Unallocated corporate expenses include corporate administrative functions that support the operating segments but are not specifically attributable to or managed by any segment and are not included in the reported financial results of the operating segments.
Corporate and Other operating loss increased to $356 million for the first fiscal quarter of 2021, or 8%, compared to $330 million for the first fiscal quarter of
2020. This increase was primarily driven by incremental strategic investments in technology and higher performance-based compensation recognizing the strength of the company's overall recovery from pandemic-related business impacts.</t>
        </r>
        <r>
          <rPr>
            <b/>
            <sz val="9"/>
            <color indexed="81"/>
            <rFont val="Tahoma"/>
            <family val="2"/>
          </rPr>
          <t xml:space="preserve">
Source: </t>
        </r>
        <r>
          <rPr>
            <sz val="9"/>
            <color indexed="81"/>
            <rFont val="Tahoma"/>
            <family val="2"/>
          </rPr>
          <t>F1Q2021 10-Q</t>
        </r>
      </text>
    </comment>
    <comment ref="P131" authorId="0" shapeId="0" xr:uid="{063C2E46-A8B6-41EA-8341-CECF58A07513}">
      <text>
        <r>
          <rPr>
            <b/>
            <sz val="9"/>
            <color indexed="81"/>
            <rFont val="Tahoma"/>
            <family val="2"/>
          </rPr>
          <t xml:space="preserve">-----------Review of Historic Results--------
MD&amp;A Comment: </t>
        </r>
        <r>
          <rPr>
            <sz val="9"/>
            <color indexed="81"/>
            <rFont val="Tahoma"/>
            <family val="2"/>
          </rPr>
          <t xml:space="preserve">Corporate and Other primarily consists of our unallocated corporate expenses, as well as Evolution Fresh. Unallocated corporate expenses include corporate administrative functions that support the operating segments but are not specifically attributable to or managed by any segment and are not included in the reported financial results of the operating segments.
Corporate and Other operating loss increased to $361 million for the third quarter of fiscal 2021, or 7%, compared to $337 million for the third quarter of fiscal
2020. This increase was primarily driven by higher performance-based compensation recognizing the better than expected business recovery ($37 million) and incremental strategic investments in technology ($19 million).
</t>
        </r>
        <r>
          <rPr>
            <b/>
            <sz val="9"/>
            <color indexed="81"/>
            <rFont val="Tahoma"/>
            <family val="2"/>
          </rPr>
          <t xml:space="preserve">
Source:</t>
        </r>
        <r>
          <rPr>
            <sz val="9"/>
            <color indexed="81"/>
            <rFont val="Tahoma"/>
            <family val="2"/>
          </rPr>
          <t xml:space="preserve"> F3Q2021 10-Q</t>
        </r>
      </text>
    </comment>
    <comment ref="AL139" authorId="0" shapeId="0" xr:uid="{0DE9428D-48A3-43A1-BA47-57712457DE82}">
      <text>
        <r>
          <rPr>
            <sz val="9"/>
            <color indexed="81"/>
            <rFont val="Tahoma"/>
            <family val="2"/>
          </rPr>
          <t>Guidance: Global store growth of 7% annually approaching 45,000 stores by the end of 2025 (from fiscal 2023 to 2025). 
Source: Investor Day 9/16/2022</t>
        </r>
      </text>
    </comment>
    <comment ref="H140" authorId="1" shapeId="0" xr:uid="{D3FE67F9-7CEA-4007-8165-E9A4C53E9540}">
      <text>
        <r>
          <rPr>
            <b/>
            <sz val="9"/>
            <color indexed="81"/>
            <rFont val="Tahoma"/>
            <family val="2"/>
          </rPr>
          <t xml:space="preserve">3Q2019 Earnings call (7/25/2019) guidance for FY2019: </t>
        </r>
        <r>
          <rPr>
            <sz val="9"/>
            <color indexed="81"/>
            <rFont val="Tahoma"/>
            <family val="2"/>
          </rPr>
          <t>Revenue growth of 7%.</t>
        </r>
        <r>
          <rPr>
            <b/>
            <sz val="9"/>
            <color indexed="81"/>
            <rFont val="Tahoma"/>
            <family val="2"/>
          </rPr>
          <t xml:space="preserve">
Previous Guidance:
2Q2019 Earnings call guidance for FY2019: </t>
        </r>
        <r>
          <rPr>
            <sz val="9"/>
            <color indexed="81"/>
            <rFont val="Tahoma"/>
            <family val="2"/>
          </rPr>
          <t>Revenue growth between 5% and 7%.
"As a reminder, we will lap the East China acquisition at the
beginning of Q2, at which point we will no longer see the year-over-year benefit to our total revenue growth. At the
same time, we will still bear the year-over-year revenue headwind from the Global Coffee Alliance. We expect
these factors to yield significantly lower revenue growth in Q2 compared to Q1.  
Given the fact that Q2 is a seasonally low period for us and with the continued substantial carryover of last year's U.S. tax reform-related
investments, we also expect our non-GAAP operating margin percentage to be lower in Q2 compared to Q1.
We are in the early phases of our G&amp;A reduction program, having just started in Q1 and the benefits to the P&amp;L
will not begin to meaningfully materialize until the back half of the fiscal year. This is an area of continued focus
for us and we remain committed to reducing G&amp;A spending as a percentage of system sales over the next three
years to drive profitable growth-at-scale, while making the necessary investments in our business. As we start to
lap the tax reform-related investments in Q3 and with the benefit of our continued focus on improving G&amp;A
efficiency, we expect our non-GAAP operating margin percentage to be higher in the second half of the year
compared to the first half, even with the one-time cost of our global leadership conference that will impact Q4.
Please note that all of this is consistent with our full year guidance for 2019.</t>
        </r>
      </text>
    </comment>
    <comment ref="L140" authorId="1" shapeId="0" xr:uid="{F232C3E9-666E-43FB-B370-07F0B58CF4E9}">
      <text>
        <r>
          <rPr>
            <b/>
            <sz val="9"/>
            <color indexed="81"/>
            <rFont val="Tahoma"/>
            <family val="2"/>
          </rPr>
          <t>Management Guidance:</t>
        </r>
        <r>
          <rPr>
            <sz val="9"/>
            <color indexed="81"/>
            <rFont val="Tahoma"/>
            <family val="2"/>
          </rPr>
          <t xml:space="preserve"> Consolidated revenue decline of 10% to 15% for Q4.
</t>
        </r>
        <r>
          <rPr>
            <b/>
            <sz val="9"/>
            <color indexed="81"/>
            <rFont val="Tahoma"/>
            <family val="2"/>
          </rPr>
          <t>Source:</t>
        </r>
        <r>
          <rPr>
            <sz val="9"/>
            <color indexed="81"/>
            <rFont val="Tahoma"/>
            <family val="2"/>
          </rPr>
          <t xml:space="preserve"> F3Q2020 Press Release, July 28, 2020</t>
        </r>
      </text>
    </comment>
    <comment ref="AL140" authorId="0" shapeId="0" xr:uid="{0477C8F9-B074-4D44-B7B8-479FCB38041F}">
      <text>
        <r>
          <rPr>
            <sz val="9"/>
            <color indexed="81"/>
            <rFont val="Tahoma"/>
            <family val="2"/>
          </rPr>
          <t>Guidance: Global revenue growth of 10% to 12% annually (from fiscal 2023 to 2025).
Source: Investor Day 9/16/2022</t>
        </r>
      </text>
    </comment>
    <comment ref="R141" authorId="0" shapeId="0" xr:uid="{13208EB7-8E78-458E-BF61-93E21F19E6F5}">
      <text>
        <r>
          <rPr>
            <b/>
            <sz val="9"/>
            <color indexed="81"/>
            <rFont val="Tahoma"/>
            <family val="2"/>
          </rPr>
          <t xml:space="preserve">Management Guidance: </t>
        </r>
        <r>
          <rPr>
            <sz val="9"/>
            <color indexed="81"/>
            <rFont val="Tahoma"/>
            <family val="2"/>
          </rPr>
          <t xml:space="preserve">  Consolidated GAAP operating margin of ~17%.
</t>
        </r>
        <r>
          <rPr>
            <b/>
            <sz val="9"/>
            <color indexed="81"/>
            <rFont val="Tahoma"/>
            <family val="2"/>
          </rPr>
          <t>Source:</t>
        </r>
        <r>
          <rPr>
            <sz val="9"/>
            <color indexed="81"/>
            <rFont val="Tahoma"/>
            <family val="2"/>
          </rPr>
          <t xml:space="preserve"> F3Q2021 Press Release</t>
        </r>
      </text>
    </comment>
    <comment ref="R142" authorId="0" shapeId="0" xr:uid="{4EE31405-461D-4314-907B-A921BCE044F3}">
      <text>
        <r>
          <rPr>
            <b/>
            <sz val="9"/>
            <color indexed="81"/>
            <rFont val="Tahoma"/>
            <family val="2"/>
          </rPr>
          <t>Management Guidance:</t>
        </r>
        <r>
          <rPr>
            <sz val="9"/>
            <color indexed="81"/>
            <rFont val="Tahoma"/>
            <family val="2"/>
          </rPr>
          <t xml:space="preserve">   Consolidated Non-GAAP operating margin of ~18%
</t>
        </r>
        <r>
          <rPr>
            <b/>
            <sz val="9"/>
            <color indexed="81"/>
            <rFont val="Tahoma"/>
            <family val="2"/>
          </rPr>
          <t>Source:</t>
        </r>
        <r>
          <rPr>
            <sz val="9"/>
            <color indexed="81"/>
            <rFont val="Tahoma"/>
            <family val="2"/>
          </rPr>
          <t xml:space="preserve"> F3Q2021 Press Release</t>
        </r>
      </text>
    </comment>
    <comment ref="V142" authorId="0" shapeId="0" xr:uid="{5A72314B-4E8A-4D49-A933-2612B0433D72}">
      <text>
        <r>
          <rPr>
            <b/>
            <sz val="9"/>
            <color indexed="81"/>
            <rFont val="Tahoma"/>
            <family val="2"/>
          </rPr>
          <t xml:space="preserve">Guidance: </t>
        </r>
        <r>
          <rPr>
            <sz val="9"/>
            <color indexed="81"/>
            <rFont val="Tahoma"/>
            <family val="2"/>
          </rPr>
          <t>"We now expect our Q4 margin and EPS to be lower than Q3 with greater year-over-year pressures primarily due to three reasons. First, the start of mobility recovery in China was later than expected, impacting the pace of recovery previously assumed in Q4. Second, our Q3 performance benefited from approximately $0.05 of non-reoccurring benefits including release of a customs duty accrual, tax credit, government subsidies, and other items which we do not expect to continue in Q4. And third, as previously announced, Q4 will be impacted by a sequential step-up in our investments, as well as our typical seasonality."</t>
        </r>
        <r>
          <rPr>
            <b/>
            <sz val="9"/>
            <color indexed="81"/>
            <rFont val="Tahoma"/>
            <family val="2"/>
          </rPr>
          <t xml:space="preserve">
Source: Investor Day 9/16/2022
</t>
        </r>
      </text>
    </comment>
    <comment ref="AL142" authorId="0" shapeId="0" xr:uid="{765B51E1-8AF7-4E90-935C-E87E51647D24}">
      <text>
        <r>
          <rPr>
            <sz val="9"/>
            <color indexed="81"/>
            <rFont val="Tahoma"/>
            <family val="2"/>
          </rPr>
          <t>Guidance: Expect “Solid” margin expansion in fiscal 2023 with “progressively more expansion” in fiscal 2024 and 2025.
Source: Investor Day 9/16/2022</t>
        </r>
      </text>
    </comment>
    <comment ref="H143" authorId="1" shapeId="0" xr:uid="{02352213-C2CD-4809-87E8-8B15F8160761}">
      <text>
        <r>
          <rPr>
            <b/>
            <sz val="9"/>
            <color indexed="81"/>
            <rFont val="Tahoma"/>
            <family val="2"/>
          </rPr>
          <t xml:space="preserve">F3Q2019 Earnings call (7/25/2019) guidance for FY2019: </t>
        </r>
        <r>
          <rPr>
            <sz val="9"/>
            <color indexed="81"/>
            <rFont val="Tahoma"/>
            <family val="2"/>
          </rPr>
          <t>19% to 20%, Non-GAAP tax rate in the range of 19% to 20%.</t>
        </r>
        <r>
          <rPr>
            <b/>
            <sz val="9"/>
            <color indexed="81"/>
            <rFont val="Tahoma"/>
            <family val="2"/>
          </rPr>
          <t xml:space="preserve">
Previous Guidance:
F2Q2019 Earnings call guidance for FY2019: </t>
        </r>
        <r>
          <rPr>
            <sz val="9"/>
            <color indexed="81"/>
            <rFont val="Tahoma"/>
            <family val="2"/>
          </rPr>
          <t xml:space="preserve">20% to 22%, Non-GAAP tax rate in the range of 19% to 21%.
</t>
        </r>
        <r>
          <rPr>
            <b/>
            <sz val="9"/>
            <color indexed="81"/>
            <rFont val="Tahoma"/>
            <family val="2"/>
          </rPr>
          <t>F1Q2019 Earnings call guidance for FY2019:</t>
        </r>
        <r>
          <rPr>
            <sz val="9"/>
            <color indexed="81"/>
            <rFont val="Tahoma"/>
            <family val="2"/>
          </rPr>
          <t xml:space="preserve"> 21% to 23%</t>
        </r>
      </text>
    </comment>
    <comment ref="L143" authorId="1" shapeId="0" xr:uid="{6A51619D-1103-480D-9772-4CEB0993DF5B}">
      <text>
        <r>
          <rPr>
            <b/>
            <sz val="9"/>
            <color indexed="81"/>
            <rFont val="Tahoma"/>
            <family val="2"/>
          </rPr>
          <t>Management Guidance:</t>
        </r>
        <r>
          <rPr>
            <sz val="9"/>
            <color indexed="81"/>
            <rFont val="Tahoma"/>
            <family val="2"/>
          </rPr>
          <t xml:space="preserve"> GAAP and non-GAAP effective tax rates in the range of mid- to high-20%s.
</t>
        </r>
        <r>
          <rPr>
            <b/>
            <sz val="9"/>
            <color indexed="81"/>
            <rFont val="Tahoma"/>
            <family val="2"/>
          </rPr>
          <t>Source:</t>
        </r>
        <r>
          <rPr>
            <sz val="9"/>
            <color indexed="81"/>
            <rFont val="Tahoma"/>
            <family val="2"/>
          </rPr>
          <t xml:space="preserve"> F3Q2020 Press Release, July 28, 2020</t>
        </r>
      </text>
    </comment>
    <comment ref="R143" authorId="0" shapeId="0" xr:uid="{F785254A-85A0-4B7C-82E9-DB2784AF0EC4}">
      <text>
        <r>
          <rPr>
            <b/>
            <sz val="9"/>
            <color indexed="81"/>
            <rFont val="Tahoma"/>
            <family val="2"/>
          </rPr>
          <t xml:space="preserve">Management Guidance:  </t>
        </r>
        <r>
          <rPr>
            <sz val="9"/>
            <color indexed="81"/>
            <rFont val="Tahoma"/>
            <family val="2"/>
          </rPr>
          <t xml:space="preserve"> GAAP and non-GAAP effective tax rates in the low-20%s
</t>
        </r>
        <r>
          <rPr>
            <b/>
            <sz val="9"/>
            <color indexed="81"/>
            <rFont val="Tahoma"/>
            <family val="2"/>
          </rPr>
          <t>Source:</t>
        </r>
        <r>
          <rPr>
            <sz val="9"/>
            <color indexed="81"/>
            <rFont val="Tahoma"/>
            <family val="2"/>
          </rPr>
          <t xml:space="preserve"> F3Q2021 Press Release</t>
        </r>
      </text>
    </comment>
    <comment ref="X143" authorId="0" shapeId="0" xr:uid="{E7E8B861-D42C-4404-BF13-E78967A0D913}">
      <text>
        <r>
          <rPr>
            <sz val="9"/>
            <color indexed="81"/>
            <rFont val="Tahoma"/>
            <family val="2"/>
          </rPr>
          <t>"We expect our non-GAAP effective tax rate to be between 24% and 25%. This range translates to an EPS headwind of roughly 4% year-on-year and is meaningfully higher than the non-GAAP tax rate of 21.3% in fiscal 2021 which benefited from certain discrete tax benefits that are not expected to repeat to the same degree in fiscal 2022."</t>
        </r>
        <r>
          <rPr>
            <b/>
            <sz val="9"/>
            <color indexed="81"/>
            <rFont val="Tahoma"/>
            <family val="2"/>
          </rPr>
          <t xml:space="preserve">
Source: </t>
        </r>
        <r>
          <rPr>
            <sz val="9"/>
            <color indexed="81"/>
            <rFont val="Tahoma"/>
            <family val="2"/>
          </rPr>
          <t>F4Q2021 earnings call</t>
        </r>
      </text>
    </comment>
    <comment ref="AL149" authorId="0" shapeId="0" xr:uid="{C2114EA0-E22D-4CB3-B328-DF11989B44EB}">
      <text>
        <r>
          <rPr>
            <sz val="9"/>
            <color indexed="81"/>
            <rFont val="Tahoma"/>
            <family val="2"/>
          </rPr>
          <t>Guidance: Management guided annual EPS growth between 15% to 20%. 
Source: Investor Day 9/16/2022
Assuming 2022 EPS of $2.88 CAGR of 15% to 20% equates to a 2025 EPS range of $4.38 to $4.98.</t>
        </r>
      </text>
    </comment>
    <comment ref="B150" authorId="1" shapeId="0" xr:uid="{21AF42CF-00C7-4EC3-859B-7AFBDEA39024}">
      <text>
        <r>
          <rPr>
            <b/>
            <sz val="9"/>
            <color indexed="81"/>
            <rFont val="Tahoma"/>
            <family val="2"/>
          </rPr>
          <t>Note:</t>
        </r>
        <r>
          <rPr>
            <sz val="9"/>
            <color indexed="81"/>
            <rFont val="Tahoma"/>
            <family val="2"/>
          </rPr>
          <t xml:space="preserve"> Item 2 Unregistered Sales of Equity Securities includes the ASRs. They have been seperated here. (Refer to F1Q2019 and F2Q2019 to reconcile)</t>
        </r>
      </text>
    </comment>
    <comment ref="AC153" authorId="0" shapeId="0" xr:uid="{589ABDD6-85E2-43F5-98C1-4DBB72C4A6EC}">
      <text>
        <r>
          <rPr>
            <sz val="9"/>
            <color indexed="81"/>
            <rFont val="Tahoma"/>
            <family val="2"/>
          </rPr>
          <t>Management is assuming a 2% dividend yield in their forecast.</t>
        </r>
      </text>
    </comment>
    <comment ref="AH153" authorId="0" shapeId="0" xr:uid="{D35796BE-C358-4A60-BA81-3382B326A588}">
      <text>
        <r>
          <rPr>
            <sz val="9"/>
            <color indexed="81"/>
            <rFont val="Tahoma"/>
            <family val="2"/>
          </rPr>
          <t>Management is assuming a 2% dividend yield in their forecast.</t>
        </r>
      </text>
    </comment>
    <comment ref="B165" authorId="1" shapeId="0" xr:uid="{58CEB162-DC46-430A-B760-E63D6D72C980}">
      <text>
        <r>
          <rPr>
            <sz val="9"/>
            <color indexed="81"/>
            <rFont val="Tahoma"/>
            <family val="2"/>
          </rPr>
          <t>Includes transaction costs for the acquisition of our East China joint venture; ongoing amortization expense of acquired
intangible assets associated with the acquisition of East China and Starbucks Japan; and the related post-acquisition integration costs, such as incremental information technology and compensation-related costs</t>
        </r>
      </text>
    </comment>
    <comment ref="Q169" authorId="0" shapeId="0" xr:uid="{0BCF2BC8-12E4-49AB-9483-02E4522BD919}">
      <text>
        <r>
          <rPr>
            <b/>
            <sz val="9"/>
            <color indexed="81"/>
            <rFont val="Tahoma"/>
            <family val="2"/>
          </rPr>
          <t>Note:</t>
        </r>
        <r>
          <rPr>
            <sz val="9"/>
            <color indexed="81"/>
            <rFont val="Tahoma"/>
            <family val="2"/>
          </rPr>
          <t xml:space="preserve"> management's guidance for non-GAAP EPS is "inclusive of the impact attributable to the 53rd week" therefore we will not remove it here.</t>
        </r>
      </text>
    </comment>
    <comment ref="B172" authorId="1" shapeId="0" xr:uid="{49339F6E-E3F7-4489-A26C-BA945DE0D04C}">
      <text>
        <r>
          <rPr>
            <b/>
            <sz val="9"/>
            <color indexed="81"/>
            <rFont val="Tahoma"/>
            <family val="2"/>
          </rPr>
          <t>Enter negative EPS income tax effect as positive on this line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author>
    <author>John Moschella</author>
  </authors>
  <commentList>
    <comment ref="B53" authorId="0" shapeId="0" xr:uid="{610D3601-3B5F-4C25-B1EB-EFE10FADD207}">
      <text>
        <r>
          <rPr>
            <sz val="9"/>
            <color indexed="81"/>
            <rFont val="Tahoma"/>
            <family val="2"/>
          </rPr>
          <t>Since Assets must equal Liabilities + Equity, we use Liabilities + Equity in this equation to have the securities balance move with the balance sheet without causing a circular reference error.</t>
        </r>
      </text>
    </comment>
    <comment ref="R64" authorId="1" shapeId="0" xr:uid="{494C5DCF-A103-4D3C-9A5F-9CB7B9C8B6C2}">
      <text>
        <r>
          <rPr>
            <b/>
            <sz val="9"/>
            <color indexed="81"/>
            <rFont val="Tahoma"/>
            <family val="2"/>
          </rPr>
          <t>Management Guidance:</t>
        </r>
        <r>
          <rPr>
            <sz val="9"/>
            <color indexed="81"/>
            <rFont val="Tahoma"/>
            <family val="2"/>
          </rPr>
          <t xml:space="preserve"> "We continue to expect our financial leverage to return to our long-term target of 3 times lease adjusted EBITDA toward the latter part of fiscal 2021" 
</t>
        </r>
        <r>
          <rPr>
            <b/>
            <sz val="9"/>
            <color indexed="81"/>
            <rFont val="Tahoma"/>
            <family val="2"/>
          </rPr>
          <t>Source:</t>
        </r>
        <r>
          <rPr>
            <sz val="9"/>
            <color indexed="81"/>
            <rFont val="Tahoma"/>
            <family val="2"/>
          </rPr>
          <t xml:space="preserve"> Biennial Investor Day (December-2020)
</t>
        </r>
        <r>
          <rPr>
            <b/>
            <sz val="9"/>
            <color indexed="81"/>
            <rFont val="Tahoma"/>
            <family val="2"/>
          </rPr>
          <t>NOTE:</t>
        </r>
        <r>
          <rPr>
            <sz val="9"/>
            <color indexed="81"/>
            <rFont val="Tahoma"/>
            <family val="2"/>
          </rPr>
          <t xml:space="preserve"> We would need the details of lease adjustment to get back to the leverage ratio </t>
        </r>
      </text>
    </comment>
    <comment ref="AG64" authorId="1" shapeId="0" xr:uid="{0342DAD6-F51D-452C-BE60-F8F05C53AB87}">
      <text>
        <r>
          <rPr>
            <sz val="9"/>
            <color indexed="81"/>
            <rFont val="Tahoma"/>
            <family val="2"/>
          </rPr>
          <t>Guidance: Management guided dividend payout rate to 50%, approximate dividend yield of 2%, share repurchase impact on EPS 1% (net of incremental interest), adjusted debt-to-EBITDA of 3x, capex of $2.5B to $3.0B, and total return to shareholders of ~$20B. 
Source: Investor Day 9/16/2022
Note: This base-case version of the model attempts to meet the midpoint of the implied range on EPS, and balance the impact of the above items. As a result the exact targets on the long-term goals above goals do not match the guidance exactly. As management discloses additional forecast details in fiscal 2023, these estimates should be adjusted.</t>
        </r>
      </text>
    </comment>
    <comment ref="AL64" authorId="1" shapeId="0" xr:uid="{8609DDFC-5A00-4F44-82E8-5F1895E37001}">
      <text>
        <r>
          <rPr>
            <sz val="9"/>
            <color indexed="81"/>
            <rFont val="Tahoma"/>
            <family val="2"/>
          </rPr>
          <t>Guidance: Management guided dividend payout rate to 50%, approximate dividend yield of 2%, share repurchase impact on EPS 1% (net of incremental interest), adjusted debt-to-EBITDA of 3x, capex of $2.5B to $3.0B, and total return to shareholders of ~$20B. 
Source: Investor Day 9/16/2022
Note: This base-case version of the model attempts to meet the midpoint of the implied range on EPS, and balance the impact of the above items. As a result the exact targets on the long-term goals above goals do not match the guidance exactly. As management discloses additional forecast details in fiscal 2023, these estimates should be adjusted.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Admin</author>
    <author>John Moschella</author>
  </authors>
  <commentList>
    <comment ref="B5" authorId="0" shapeId="0" xr:uid="{32B8796F-5A2C-43D5-B1ED-72AF10407D18}">
      <text>
        <r>
          <rPr>
            <b/>
            <sz val="9"/>
            <color indexed="81"/>
            <rFont val="Tahoma"/>
            <family val="2"/>
          </rPr>
          <t>Note: Use the company's 10-K not SEC web data</t>
        </r>
      </text>
    </comment>
    <comment ref="B17" authorId="0" shapeId="0" xr:uid="{3A5D8DB3-9E84-4752-B762-06CFC2216DE4}">
      <text>
        <r>
          <rPr>
            <b/>
            <sz val="9"/>
            <color indexed="81"/>
            <rFont val="Tahoma"/>
            <family val="2"/>
          </rPr>
          <t>Change sign</t>
        </r>
      </text>
    </comment>
    <comment ref="B21" authorId="0" shapeId="0" xr:uid="{DE065C5D-65A1-4D17-9167-A5A8B9A07E92}">
      <text>
        <r>
          <rPr>
            <b/>
            <sz val="9"/>
            <color indexed="81"/>
            <rFont val="Tahoma"/>
            <family val="2"/>
          </rPr>
          <t>Change sign</t>
        </r>
      </text>
    </comment>
    <comment ref="H25" authorId="0" shapeId="0" xr:uid="{9920C7D9-93CE-4BC2-B075-E7F59FE515AD}">
      <text>
        <r>
          <rPr>
            <b/>
            <sz val="9"/>
            <color indexed="81"/>
            <rFont val="Tahoma"/>
            <family val="2"/>
          </rPr>
          <t xml:space="preserve">3Q2019 Earnings call (7/25/2019) guidance for FY2019:
</t>
        </r>
        <r>
          <rPr>
            <sz val="9"/>
            <color indexed="81"/>
            <rFont val="Tahoma"/>
            <family val="2"/>
          </rPr>
          <t>Capex ~ $2B</t>
        </r>
      </text>
    </comment>
    <comment ref="M25" authorId="0" shapeId="0" xr:uid="{DE8E5384-D06E-47AA-9A27-12212D62ADA2}">
      <text>
        <r>
          <rPr>
            <b/>
            <sz val="9"/>
            <color indexed="81"/>
            <rFont val="Tahoma"/>
            <family val="2"/>
          </rPr>
          <t xml:space="preserve">Management Guidance: </t>
        </r>
        <r>
          <rPr>
            <sz val="9"/>
            <color indexed="81"/>
            <rFont val="Tahoma"/>
            <family val="2"/>
          </rPr>
          <t xml:space="preserve">Full year capex ~ $1.5B.
</t>
        </r>
        <r>
          <rPr>
            <b/>
            <sz val="9"/>
            <color indexed="81"/>
            <rFont val="Tahoma"/>
            <family val="2"/>
          </rPr>
          <t xml:space="preserve">Source: </t>
        </r>
        <r>
          <rPr>
            <sz val="9"/>
            <color indexed="81"/>
            <rFont val="Tahoma"/>
            <family val="2"/>
          </rPr>
          <t>F3Q2020 Press Release, July 28, 2020</t>
        </r>
      </text>
    </comment>
    <comment ref="R25" authorId="1" shapeId="0" xr:uid="{596DB8AB-FE38-4AD1-A571-F69A86BE5038}">
      <text>
        <r>
          <rPr>
            <b/>
            <sz val="9"/>
            <color indexed="81"/>
            <rFont val="Tahoma"/>
            <family val="2"/>
          </rPr>
          <t xml:space="preserve">Management Guidance: </t>
        </r>
        <r>
          <rPr>
            <sz val="9"/>
            <color indexed="81"/>
            <rFont val="Tahoma"/>
            <family val="2"/>
          </rPr>
          <t xml:space="preserve">  ~$1.7B
</t>
        </r>
        <r>
          <rPr>
            <b/>
            <sz val="9"/>
            <color indexed="81"/>
            <rFont val="Tahoma"/>
            <family val="2"/>
          </rPr>
          <t>Source:</t>
        </r>
        <r>
          <rPr>
            <sz val="9"/>
            <color indexed="81"/>
            <rFont val="Tahoma"/>
            <family val="2"/>
          </rPr>
          <t xml:space="preserve"> F3Q2021 Press Release</t>
        </r>
      </text>
    </comment>
    <comment ref="AB25" authorId="1" shapeId="0" xr:uid="{1C957CAF-8E7D-4F34-A3FD-DC9E9B731078}">
      <text>
        <r>
          <rPr>
            <sz val="9"/>
            <color indexed="81"/>
            <rFont val="Tahoma"/>
            <family val="2"/>
          </rPr>
          <t>Guidance: Capital expenditures of $2.5B to $3.0B annually (fiscal 2023, 2024, and 2025).
Source: Investor Day 9/16/2022</t>
        </r>
      </text>
    </comment>
    <comment ref="AG25" authorId="1" shapeId="0" xr:uid="{ACADF9DA-9643-4BB8-B703-F3E46D97DFFE}">
      <text>
        <r>
          <rPr>
            <sz val="9"/>
            <color indexed="81"/>
            <rFont val="Tahoma"/>
            <family val="2"/>
          </rPr>
          <t>Guidance: Capital expenditures of $2.5B to $3.0B annually (fiscal 2023, 2024, and 2025).
Source: Investor Day 9/16/2022</t>
        </r>
      </text>
    </comment>
    <comment ref="AL25" authorId="1" shapeId="0" xr:uid="{C738B5F6-BD4A-4987-94B4-F16568B6D4F7}">
      <text>
        <r>
          <rPr>
            <sz val="9"/>
            <color indexed="81"/>
            <rFont val="Tahoma"/>
            <family val="2"/>
          </rPr>
          <t>Guidance: Capital expenditures of $2.5B to $3.0B annually (fiscal 2023, 2024, and 2025).
Source: Investor Day 9/16/2022</t>
        </r>
      </text>
    </comment>
    <comment ref="B29" authorId="0" shapeId="0" xr:uid="{ED273C7C-B760-4EE0-A7A1-345C45A98791}">
      <text>
        <r>
          <rPr>
            <b/>
            <sz val="9"/>
            <color indexed="81"/>
            <rFont val="Tahoma"/>
            <family val="2"/>
          </rPr>
          <t>Change sign for payments of debt</t>
        </r>
      </text>
    </comment>
    <comment ref="B42" authorId="0" shapeId="0" xr:uid="{120DB8CB-4654-4D64-9CE8-971CEB73CC23}">
      <text>
        <r>
          <rPr>
            <sz val="9"/>
            <color indexed="81"/>
            <rFont val="Tahoma"/>
            <family val="2"/>
          </rPr>
          <t>Cash Flow from Operations - Capital Expenditures + After tax Interest Expense</t>
        </r>
      </text>
    </comment>
    <comment ref="AL58" authorId="1" shapeId="0" xr:uid="{EBECEED7-9C6A-4B8B-98B3-5E204CFB2F2C}">
      <text>
        <r>
          <rPr>
            <sz val="9"/>
            <color indexed="81"/>
            <rFont val="Tahoma"/>
            <family val="2"/>
          </rPr>
          <t>Guidance: Management guided dividend payout rate to 50%, approximate dividend yield of 2%, share repurchase impact on EPS 1% (net of incremental interest), adjusted debt-to-EBITDA of 3x, capex of $2.5B to $3.0B, and total return to shareholders of ~$20B. 
Source: Investor Day 9/16/2022
Note: This base-case version of the model attempts to meet the midpoint of the implied range on EPS, and balance the impact of the above items. As a result the exact targets on the long-term goals above goals do not match the guidance exactly. As management discloses additional forecast details in fiscal 2023, these estimates should be adjusted.</t>
        </r>
      </text>
    </comment>
    <comment ref="AL61" authorId="1" shapeId="0" xr:uid="{2F9DD5BD-0F76-4315-BF53-F7109E8D1D04}">
      <text>
        <r>
          <rPr>
            <sz val="9"/>
            <color indexed="81"/>
            <rFont val="Tahoma"/>
            <family val="2"/>
          </rPr>
          <t>Guidance: Management guided dividend payout rate to 50%, approximate dividend yield of 2%, share repurchase impact on EPS 1% (net of incremental interest), adjusted debt-to-EBITDA of 3x, capex of $2.5B to $3.0B, and total return to shareholders of ~$20B. 
Source: Investor Day 9/16/2022
Note: This base-case version of the model attempts to meet the midpoint of the implied range on EPS, and balance the impact of the above items. As a result the exact targets on the long-term goals above goals do not match the guidance exactly. As management discloses additional forecast details in fiscal 2023, these estimates should be adjusted.</t>
        </r>
      </text>
    </comment>
    <comment ref="AL62" authorId="1" shapeId="0" xr:uid="{413B2067-5D62-4D78-A8D9-4258D670D8AB}">
      <text>
        <r>
          <rPr>
            <b/>
            <sz val="9"/>
            <color indexed="81"/>
            <rFont val="Tahoma"/>
            <family val="2"/>
          </rPr>
          <t xml:space="preserve">Guidance: </t>
        </r>
        <r>
          <rPr>
            <sz val="9"/>
            <color indexed="81"/>
            <rFont val="Tahoma"/>
            <family val="2"/>
          </rPr>
          <t xml:space="preserve">Management guided annual EPS growth between 15% to 20%. </t>
        </r>
        <r>
          <rPr>
            <b/>
            <sz val="9"/>
            <color indexed="81"/>
            <rFont val="Tahoma"/>
            <family val="2"/>
          </rPr>
          <t xml:space="preserve">
Source: Investor Day 9/16/2022
</t>
        </r>
        <r>
          <rPr>
            <sz val="9"/>
            <color indexed="81"/>
            <rFont val="Tahoma"/>
            <family val="2"/>
          </rPr>
          <t>Assuming 2022 EPS of $2.88 CAGR of 15% to 20% equates to a 2025 EPS range of $4.38 to $4.98.</t>
        </r>
        <r>
          <rPr>
            <b/>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John Moschella</author>
    <author>Admin</author>
    <author>Gutenberg Research</author>
  </authors>
  <commentList>
    <comment ref="N8" authorId="0" shapeId="0" xr:uid="{30FF2C1B-DA68-411B-886E-D3BFAE59ECED}">
      <text>
        <r>
          <rPr>
            <b/>
            <sz val="9"/>
            <color indexed="81"/>
            <rFont val="Tahoma"/>
            <family val="2"/>
          </rPr>
          <t xml:space="preserve">-----------Review of Historic Results------------
MD&amp;A Comment: </t>
        </r>
        <r>
          <rPr>
            <sz val="9"/>
            <color indexed="81"/>
            <rFont val="Tahoma"/>
            <family val="2"/>
          </rPr>
          <t xml:space="preserve">Total net revenues for the first quarter of fiscal 2021 decreased $348 million. Company-operated stores revenue declined $54 million, reflecting a 5% decrease in comparable store sales ($279 million) attributed to a 19% decrease in transactions partially offset by a 17% increase in average ticket. This decrease was partially offset by 667 net new Starbucks company-operated stores, or a 4% increase, over the past 12 months ($170 million) and favorable foreign currency translation ($69 million).
Licensed stores revenue decreased $178 million, primarily driven by lower product and equipment sales to and royalty revenues from our licensees.
Other revenues decreased $115 million, primarily due to the transition of certain single-serve product activities to Nestlé and lapping of transition activities related
to the Global Coffee Alliance in the prior year. Also contributing were lower Global Coffee Alliance revenues, mainly driven by the Foodservice business, which
experienced softening due to COVID-19.
</t>
        </r>
        <r>
          <rPr>
            <b/>
            <sz val="9"/>
            <color indexed="81"/>
            <rFont val="Tahoma"/>
            <family val="2"/>
          </rPr>
          <t>Source:</t>
        </r>
        <r>
          <rPr>
            <sz val="9"/>
            <color indexed="81"/>
            <rFont val="Tahoma"/>
            <family val="2"/>
          </rPr>
          <t xml:space="preserve"> F1Q2021 10-Q</t>
        </r>
      </text>
    </comment>
    <comment ref="P8" authorId="0" shapeId="0" xr:uid="{F217591E-3281-4E99-A2CD-D57B1565552F}">
      <text>
        <r>
          <rPr>
            <b/>
            <sz val="9"/>
            <color indexed="81"/>
            <rFont val="Tahoma"/>
            <family val="2"/>
          </rPr>
          <t>-----------Review of Historic Results--------
MD&amp;A Comment:</t>
        </r>
        <r>
          <rPr>
            <sz val="9"/>
            <color indexed="81"/>
            <rFont val="Tahoma"/>
            <family val="2"/>
          </rPr>
          <t xml:space="preserve"> Total net revenues for the third quarter of fiscal 2021 increased $3.3 billion, primarily due to higher revenues from company-operated stores ($2.9 billion). The growth of company-operated stores revenues was driven by a 73% increase in comparable store sales ($2.5 billion) attributed to a 75% increase in transactions offset by a 1% decrease in average ticket. Also contributing to the increase were incremental revenues from 612 net new Starbucks company-operated stores, or a 4% increase, over the past 12 months ($268 million) and favorable foreign currency translation ($119 million).
Licensed stores revenue increased $380 million, primarily driven by higher product and equipment sales to and royalty revenues from our licensees.
Other revenues decreased $24 million, primarily due to the transition of certain single-serve product activities to Nestlé. This was partially offset by higher product
sales and royalty revenue in the Global Coffee Alliance and growth in our ready-to-drink business.</t>
        </r>
        <r>
          <rPr>
            <b/>
            <sz val="9"/>
            <color indexed="81"/>
            <rFont val="Tahoma"/>
            <family val="2"/>
          </rPr>
          <t xml:space="preserve">
Source: </t>
        </r>
        <r>
          <rPr>
            <sz val="9"/>
            <color indexed="81"/>
            <rFont val="Tahoma"/>
            <family val="2"/>
          </rPr>
          <t>F3Q2021 10-Q</t>
        </r>
      </text>
    </comment>
    <comment ref="R8" authorId="0" shapeId="0" xr:uid="{1C72F873-9DBD-4C47-BC8F-D13D40CFACA0}">
      <text>
        <r>
          <rPr>
            <b/>
            <sz val="9"/>
            <color indexed="81"/>
            <rFont val="Tahoma"/>
            <family val="2"/>
          </rPr>
          <t>Management Guidance:</t>
        </r>
        <r>
          <rPr>
            <sz val="9"/>
            <color indexed="81"/>
            <rFont val="Tahoma"/>
            <family val="2"/>
          </rPr>
          <t xml:space="preserve">  Consolidated revenue of $28.0 billion to $29.0 billion, inclusive of a $500 million impact attributable to the 53rd week
</t>
        </r>
        <r>
          <rPr>
            <b/>
            <sz val="9"/>
            <color indexed="81"/>
            <rFont val="Tahoma"/>
            <family val="2"/>
          </rPr>
          <t xml:space="preserve">Source: </t>
        </r>
        <r>
          <rPr>
            <sz val="9"/>
            <color indexed="81"/>
            <rFont val="Tahoma"/>
            <family val="2"/>
          </rPr>
          <t>F1Q2021 Press Release, January 26, 2021</t>
        </r>
      </text>
    </comment>
    <comment ref="B9" authorId="1" shapeId="0" xr:uid="{76152E3F-4D3D-4413-86B9-F67CA570FE01}">
      <text>
        <r>
          <rPr>
            <sz val="9"/>
            <color indexed="81"/>
            <rFont val="Tahoma"/>
            <family val="2"/>
          </rPr>
          <t>'The caption "Product and distribution costs" replaced "Cost of sales" in financial statements published in periods prior to our third quarter of fiscal 2020. Besides the name change, there were no other changes in the types of costs reported within the
caption." 
Management views as a percentage of total net revenue. Margin % tends to shift with changes in food/beverage mix, cost of coffee, and changes in fx.</t>
        </r>
      </text>
    </comment>
    <comment ref="N9" authorId="0" shapeId="0" xr:uid="{2EF31087-13BB-4EB3-84D9-959B984DA74C}">
      <text>
        <r>
          <rPr>
            <b/>
            <sz val="9"/>
            <color indexed="81"/>
            <rFont val="Tahoma"/>
            <family val="2"/>
          </rPr>
          <t xml:space="preserve">----Review of Historic Results-------
MD&amp;A Comment: </t>
        </r>
        <r>
          <rPr>
            <sz val="9"/>
            <color indexed="81"/>
            <rFont val="Tahoma"/>
            <family val="2"/>
          </rPr>
          <t>Product and distribution costs as a percentage of total net revenues decreased 110 basis points for the first quarter of fiscal 2021, primarily due to the transfer of certain single-serve products to Nestlé beginning in the fourth quarter of fiscal 2020 (approximately 90 basis points) and pricing in Americas.</t>
        </r>
        <r>
          <rPr>
            <b/>
            <sz val="9"/>
            <color indexed="81"/>
            <rFont val="Tahoma"/>
            <family val="2"/>
          </rPr>
          <t xml:space="preserve">
Source: </t>
        </r>
        <r>
          <rPr>
            <sz val="9"/>
            <color indexed="81"/>
            <rFont val="Tahoma"/>
            <family val="2"/>
          </rPr>
          <t>F1Q2021 10-Q</t>
        </r>
      </text>
    </comment>
    <comment ref="P9" authorId="0" shapeId="0" xr:uid="{0338DB59-1B0D-47B0-8CA9-C840AC7797B6}">
      <text>
        <r>
          <rPr>
            <b/>
            <sz val="9"/>
            <color indexed="81"/>
            <rFont val="Tahoma"/>
            <family val="2"/>
          </rPr>
          <t xml:space="preserve">-----------Review of Historic Results--------
MD&amp;A Comment: </t>
        </r>
        <r>
          <rPr>
            <sz val="9"/>
            <color indexed="81"/>
            <rFont val="Tahoma"/>
            <family val="2"/>
          </rPr>
          <t>Product and distribution costs as a percentage of total net revenues decreased 570 basis points for the third quarter of fiscal 2021, primarily due to sales leverage driven by lapping the severe impact of the COVID-19 pandemic in the prior year and pricing in the Americas.</t>
        </r>
        <r>
          <rPr>
            <b/>
            <sz val="9"/>
            <color indexed="81"/>
            <rFont val="Tahoma"/>
            <family val="2"/>
          </rPr>
          <t xml:space="preserve">
Source: </t>
        </r>
        <r>
          <rPr>
            <sz val="9"/>
            <color indexed="81"/>
            <rFont val="Tahoma"/>
            <family val="2"/>
          </rPr>
          <t>F3Q2021 10-Q</t>
        </r>
      </text>
    </comment>
    <comment ref="N10" authorId="0" shapeId="0" xr:uid="{A5BFA9CA-FA33-4997-A899-EA2BB0AE893C}">
      <text>
        <r>
          <rPr>
            <b/>
            <sz val="9"/>
            <color indexed="81"/>
            <rFont val="Tahoma"/>
            <family val="2"/>
          </rPr>
          <t>-----------Review of Historic Results------------
MD&amp;A Comment:</t>
        </r>
        <r>
          <rPr>
            <sz val="9"/>
            <color indexed="81"/>
            <rFont val="Tahoma"/>
            <family val="2"/>
          </rPr>
          <t xml:space="preserve"> Store operating expenses as a percentage of total net revenues increased 270 basis points for the first quarter of fiscal 2021. Store operating expenses as a percentage of company-operated store revenues increased 130 basis points, primarily due to sales deleverage attributable to COVID-19 impacts, as well as catastrophe pay programs for retail partners, net of benefits provided by temporary subsidies from the U.S. and certain foreign governments (approximately 50 basis points), and growth in wages and benefits (approximately 180 basis points). These were partially offset by labor efficiencies (approximately 250 basis points).</t>
        </r>
        <r>
          <rPr>
            <b/>
            <sz val="9"/>
            <color indexed="81"/>
            <rFont val="Tahoma"/>
            <family val="2"/>
          </rPr>
          <t xml:space="preserve">
Source: </t>
        </r>
        <r>
          <rPr>
            <sz val="9"/>
            <color indexed="81"/>
            <rFont val="Tahoma"/>
            <family val="2"/>
          </rPr>
          <t>F1Q2021 10-Q</t>
        </r>
      </text>
    </comment>
    <comment ref="P10" authorId="0" shapeId="0" xr:uid="{8F9F75DE-8A99-4650-9583-8A9A51CC731C}">
      <text>
        <r>
          <rPr>
            <b/>
            <sz val="9"/>
            <color indexed="81"/>
            <rFont val="Tahoma"/>
            <family val="2"/>
          </rPr>
          <t>-----------Review of Historic Results--------
MD&amp;A Comment:</t>
        </r>
        <r>
          <rPr>
            <sz val="9"/>
            <color indexed="81"/>
            <rFont val="Tahoma"/>
            <family val="2"/>
          </rPr>
          <t xml:space="preserve"> Store operating expenses as a percentage of total net revenues decreased 2,050 basis points for the third quarter of fiscal 2021. Store operating expenses as a percentage of company-operated store revenues decreased 2,710 basis points, primarily due to sales leverage from business recovery and lapping higher COVID 19 related costs in the prior year, mainly catastrophe and service pay for store partners, net of temporary subsidies from the U.S. and certain foreign governments (approximately 840 basis points). These increases were partially offset by additional investments in retail store partners wages and benefits (approximately 100 basis points).</t>
        </r>
        <r>
          <rPr>
            <b/>
            <sz val="9"/>
            <color indexed="81"/>
            <rFont val="Tahoma"/>
            <family val="2"/>
          </rPr>
          <t xml:space="preserve">
Source:</t>
        </r>
        <r>
          <rPr>
            <sz val="9"/>
            <color indexed="81"/>
            <rFont val="Tahoma"/>
            <family val="2"/>
          </rPr>
          <t xml:space="preserve"> F3Q2021 10-Q</t>
        </r>
      </text>
    </comment>
    <comment ref="N11" authorId="0" shapeId="0" xr:uid="{05D4299B-BC96-41ED-8A74-89E6BE315F21}">
      <text>
        <r>
          <rPr>
            <b/>
            <sz val="9"/>
            <color indexed="81"/>
            <rFont val="Tahoma"/>
            <family val="2"/>
          </rPr>
          <t xml:space="preserve">----Review of Historic Results-----
MD&amp;A Comment: </t>
        </r>
        <r>
          <rPr>
            <sz val="9"/>
            <color indexed="81"/>
            <rFont val="Tahoma"/>
            <family val="2"/>
          </rPr>
          <t>Other operating expenses decreased $10 million for the first quarter of fiscal 2021, primarily due to lapping prior year incremental costs to develop and grow the Global Coffee Alliance.</t>
        </r>
        <r>
          <rPr>
            <b/>
            <sz val="9"/>
            <color indexed="81"/>
            <rFont val="Tahoma"/>
            <family val="2"/>
          </rPr>
          <t xml:space="preserve">
Source: </t>
        </r>
        <r>
          <rPr>
            <sz val="9"/>
            <color indexed="81"/>
            <rFont val="Tahoma"/>
            <family val="2"/>
          </rPr>
          <t>F1Q2021 10-Q</t>
        </r>
      </text>
    </comment>
    <comment ref="P11" authorId="0" shapeId="0" xr:uid="{7AC13BE1-E0A3-4C23-9A8F-E1738F7AF01B}">
      <text>
        <r>
          <rPr>
            <b/>
            <sz val="9"/>
            <color indexed="81"/>
            <rFont val="Tahoma"/>
            <family val="2"/>
          </rPr>
          <t xml:space="preserve">-----------Review of Historic Results--------
MD&amp;A Comment: </t>
        </r>
        <r>
          <rPr>
            <sz val="9"/>
            <color indexed="81"/>
            <rFont val="Tahoma"/>
            <family val="2"/>
          </rPr>
          <t>Other operating expenses decreased $62 million for the third quarter of fiscal 2021, primarily due to lower Global Coffee Alliance transaction costs, inclusive of
lapping certain transition items from the prior year and a change in estimate relating to a transaction cost accrual.</t>
        </r>
        <r>
          <rPr>
            <b/>
            <sz val="9"/>
            <color indexed="81"/>
            <rFont val="Tahoma"/>
            <family val="2"/>
          </rPr>
          <t xml:space="preserve">
Source: </t>
        </r>
        <r>
          <rPr>
            <sz val="9"/>
            <color indexed="81"/>
            <rFont val="Tahoma"/>
            <family val="2"/>
          </rPr>
          <t>F3Q2021 10-Q</t>
        </r>
      </text>
    </comment>
    <comment ref="N12" authorId="0" shapeId="0" xr:uid="{8A26C516-BD33-4362-BECC-A63AE5E91FE8}">
      <text>
        <r>
          <rPr>
            <b/>
            <sz val="9"/>
            <color indexed="81"/>
            <rFont val="Tahoma"/>
            <family val="2"/>
          </rPr>
          <t xml:space="preserve">------Review of Historic Results---
MD&amp;A Comment: </t>
        </r>
        <r>
          <rPr>
            <sz val="9"/>
            <color indexed="81"/>
            <rFont val="Tahoma"/>
            <family val="2"/>
          </rPr>
          <t>Depreciation and amortization expenses as a percentage of total net revenues increased 50 basis points, primarily due to sales eleverage.</t>
        </r>
        <r>
          <rPr>
            <b/>
            <sz val="9"/>
            <color indexed="81"/>
            <rFont val="Tahoma"/>
            <family val="2"/>
          </rPr>
          <t xml:space="preserve">
Source: </t>
        </r>
        <r>
          <rPr>
            <sz val="9"/>
            <color indexed="81"/>
            <rFont val="Tahoma"/>
            <family val="2"/>
          </rPr>
          <t>F1Q2021 10-Q</t>
        </r>
      </text>
    </comment>
    <comment ref="P12" authorId="0" shapeId="0" xr:uid="{1B9499E6-B730-4E26-959C-2146DD5F3343}">
      <text>
        <r>
          <rPr>
            <b/>
            <sz val="9"/>
            <color indexed="81"/>
            <rFont val="Tahoma"/>
            <family val="2"/>
          </rPr>
          <t xml:space="preserve">-----------Review of Historic Results--------
MD&amp;A Comment: </t>
        </r>
        <r>
          <rPr>
            <sz val="9"/>
            <color indexed="81"/>
            <rFont val="Tahoma"/>
            <family val="2"/>
          </rPr>
          <t>Depreciation and amortization expenses as a percentage of total net revenues decreased 390 basis points, primarily due to sales leverage.</t>
        </r>
        <r>
          <rPr>
            <b/>
            <sz val="9"/>
            <color indexed="81"/>
            <rFont val="Tahoma"/>
            <family val="2"/>
          </rPr>
          <t xml:space="preserve">
Source: </t>
        </r>
        <r>
          <rPr>
            <sz val="9"/>
            <color indexed="81"/>
            <rFont val="Tahoma"/>
            <family val="2"/>
          </rPr>
          <t>F3Q2021 10-Q</t>
        </r>
      </text>
    </comment>
    <comment ref="N13" authorId="0" shapeId="0" xr:uid="{52E930FB-3D01-4FC7-A959-6F0F01E8CF8F}">
      <text>
        <r>
          <rPr>
            <b/>
            <sz val="9"/>
            <color indexed="81"/>
            <rFont val="Tahoma"/>
            <family val="2"/>
          </rPr>
          <t xml:space="preserve">------Review of Historic Results-----
MD&amp;A Comment: </t>
        </r>
        <r>
          <rPr>
            <sz val="9"/>
            <color indexed="81"/>
            <rFont val="Tahoma"/>
            <family val="2"/>
          </rPr>
          <t>General and administrative expenses increased $38 million, primarily due to incremental strategic investments in technology ($28 million) and higher performance-based compensation, recognizing the strength of the company's overall recovery from pandemic-related business impacts ($18 million).</t>
        </r>
        <r>
          <rPr>
            <b/>
            <sz val="9"/>
            <color indexed="81"/>
            <rFont val="Tahoma"/>
            <family val="2"/>
          </rPr>
          <t xml:space="preserve">
Source: </t>
        </r>
        <r>
          <rPr>
            <sz val="9"/>
            <color indexed="81"/>
            <rFont val="Tahoma"/>
            <family val="2"/>
          </rPr>
          <t>F1Q2021 10-Q</t>
        </r>
      </text>
    </comment>
    <comment ref="P13" authorId="0" shapeId="0" xr:uid="{E12689F6-69B4-445E-AB40-56AECC186287}">
      <text>
        <r>
          <rPr>
            <b/>
            <sz val="9"/>
            <color indexed="81"/>
            <rFont val="Tahoma"/>
            <family val="2"/>
          </rPr>
          <t xml:space="preserve">-----------Review of Historic Results--------
MD&amp;A Comment: </t>
        </r>
        <r>
          <rPr>
            <sz val="9"/>
            <color indexed="81"/>
            <rFont val="Tahoma"/>
            <family val="2"/>
          </rPr>
          <t>General and administrative expenses increased $95 million, primarily due to higher performance-based compensation recognizing the better than expected business
recovery ($64 million) and incremental strategic investments in technology ($21 million).</t>
        </r>
        <r>
          <rPr>
            <b/>
            <sz val="9"/>
            <color indexed="81"/>
            <rFont val="Tahoma"/>
            <family val="2"/>
          </rPr>
          <t xml:space="preserve">
Source: </t>
        </r>
        <r>
          <rPr>
            <sz val="9"/>
            <color indexed="81"/>
            <rFont val="Tahoma"/>
            <family val="2"/>
          </rPr>
          <t>F3Q2021 10-Q</t>
        </r>
      </text>
    </comment>
    <comment ref="L14" authorId="2" shapeId="0" xr:uid="{2B523EF0-E6F4-4CEE-B335-2E6CEC403CEF}">
      <text>
        <r>
          <rPr>
            <b/>
            <sz val="9"/>
            <color indexed="81"/>
            <rFont val="Tahoma"/>
            <family val="2"/>
          </rPr>
          <t xml:space="preserve">Note (updated on 7/14): </t>
        </r>
        <r>
          <rPr>
            <sz val="9"/>
            <color indexed="81"/>
            <rFont val="Tahoma"/>
            <family val="2"/>
          </rPr>
          <t xml:space="preserve">Since management guided restructing costs to $0.11 per share (approximately $129M) we can change our opex allocation to meet this guidance [Increase allocation in cell L74 by 1.86% of the total opex allocation, and subtract 1.86% from Store operating expense]. </t>
        </r>
        <r>
          <rPr>
            <sz val="9"/>
            <color indexed="81"/>
            <rFont val="Tahoma"/>
            <family val="2"/>
          </rPr>
          <t xml:space="preserve">
</t>
        </r>
      </text>
    </comment>
    <comment ref="N14" authorId="0" shapeId="0" xr:uid="{36A60247-85C7-4B16-8FC8-C61B2BFDC3CB}">
      <text>
        <r>
          <rPr>
            <b/>
            <sz val="9"/>
            <color indexed="81"/>
            <rFont val="Tahoma"/>
            <family val="2"/>
          </rPr>
          <t xml:space="preserve">--Review of Historic Results-----------
MD&amp;A Comment: </t>
        </r>
        <r>
          <rPr>
            <sz val="9"/>
            <color indexed="81"/>
            <rFont val="Tahoma"/>
            <family val="2"/>
          </rPr>
          <t>Restructuring and impairment expenses increased $66 million, primarily due to higher asset impairment related to store portfolio optimization ($42 million) and accelerated amortization of right-of-use lease assets associated with the closure of certain company-operated stores ($26 million).</t>
        </r>
        <r>
          <rPr>
            <b/>
            <sz val="9"/>
            <color indexed="81"/>
            <rFont val="Tahoma"/>
            <family val="2"/>
          </rPr>
          <t xml:space="preserve">
Source: </t>
        </r>
        <r>
          <rPr>
            <sz val="9"/>
            <color indexed="81"/>
            <rFont val="Tahoma"/>
            <family val="2"/>
          </rPr>
          <t>F1Q2021 10-Q</t>
        </r>
      </text>
    </comment>
    <comment ref="P14" authorId="0" shapeId="0" xr:uid="{F0FF3AE0-569F-41A3-B8B8-DB174D495FFE}">
      <text>
        <r>
          <rPr>
            <b/>
            <sz val="9"/>
            <color indexed="81"/>
            <rFont val="Tahoma"/>
            <family val="2"/>
          </rPr>
          <t xml:space="preserve">-----------Review of Historic Results--------
MD&amp;A Comment: </t>
        </r>
        <r>
          <rPr>
            <sz val="9"/>
            <color indexed="81"/>
            <rFont val="Tahoma"/>
            <family val="2"/>
          </rPr>
          <t>Restructuring and impairment expenses decreased $58 million, primarily due to lower asset impairment related to store portfolio optimization ($34 million) and
lapping the intangible asset impairment from the prior year ($22 million).</t>
        </r>
        <r>
          <rPr>
            <b/>
            <sz val="9"/>
            <color indexed="81"/>
            <rFont val="Tahoma"/>
            <family val="2"/>
          </rPr>
          <t xml:space="preserve">
Source: </t>
        </r>
        <r>
          <rPr>
            <sz val="9"/>
            <color indexed="81"/>
            <rFont val="Tahoma"/>
            <family val="2"/>
          </rPr>
          <t>F3Q2021 10-Q</t>
        </r>
      </text>
    </comment>
    <comment ref="B16" authorId="1" shapeId="0" xr:uid="{4B003CD1-D36F-4752-884B-1083EE36B900}">
      <text>
        <r>
          <rPr>
            <sz val="9"/>
            <color indexed="81"/>
            <rFont val="Tahoma"/>
            <family val="2"/>
          </rPr>
          <t>10-K: "Equity investments are accounted for using the equity method of accounting if the investment gives us the ability to exercise significant influence, but not control, over an investee. Equity method investments are included within long-term  investments on our consolidated balance sheets. Our share of the earnings or losses as reported by equity method investees are classified as income from equity investees on our consolidated statements of earnings.
Equity investments for which we do not have the ability to exercise significant influence are accounted for using the cost method of accounting and are recorded in long-term investments on our consolidated balance sheets. Under the cost method, investments are carried at cost and are adjusted only for other-than-temporary declines in fair value, certain distributions and additional investments."</t>
        </r>
      </text>
    </comment>
    <comment ref="N16" authorId="0" shapeId="0" xr:uid="{4B0C6D2F-34EA-40F2-8561-7C10F5704283}">
      <text>
        <r>
          <rPr>
            <b/>
            <sz val="9"/>
            <color indexed="81"/>
            <rFont val="Tahoma"/>
            <family val="2"/>
          </rPr>
          <t xml:space="preserve">-------Review of Historic Results------MD&amp;A Comment: </t>
        </r>
        <r>
          <rPr>
            <sz val="9"/>
            <color indexed="81"/>
            <rFont val="Tahoma"/>
            <family val="2"/>
          </rPr>
          <t>Income from equity investees increased $9 million, primarily due to higher income from our North American Coffee Partnership joint venture, partially offset by temporary store closures and reduced operating hours in our South Korea and India joint ventures.</t>
        </r>
        <r>
          <rPr>
            <b/>
            <sz val="9"/>
            <color indexed="81"/>
            <rFont val="Tahoma"/>
            <family val="2"/>
          </rPr>
          <t xml:space="preserve">
Source: </t>
        </r>
        <r>
          <rPr>
            <sz val="9"/>
            <color indexed="81"/>
            <rFont val="Tahoma"/>
            <family val="2"/>
          </rPr>
          <t>F1Q2021 10-Q</t>
        </r>
      </text>
    </comment>
    <comment ref="P16" authorId="0" shapeId="0" xr:uid="{75C8398E-2F0D-4FF3-8F50-74BFAA44B420}">
      <text>
        <r>
          <rPr>
            <b/>
            <sz val="9"/>
            <color indexed="81"/>
            <rFont val="Tahoma"/>
            <family val="2"/>
          </rPr>
          <t>-----------Review of Historic Results--------
MD&amp;A Comment:</t>
        </r>
        <r>
          <rPr>
            <sz val="9"/>
            <color indexed="81"/>
            <rFont val="Tahoma"/>
            <family val="2"/>
          </rPr>
          <t xml:space="preserve"> Income from equity investees increased $37 million, primarily due to higher income from our South Korea joint venture attributable to net new store growth and lapping lower royalty income due to the severe impact of the COVID-19 pandemic in the prior year ($18 million). Higher income from our North American Coffee Partnership joint venture also contributed ($13 million).</t>
        </r>
        <r>
          <rPr>
            <b/>
            <sz val="9"/>
            <color indexed="81"/>
            <rFont val="Tahoma"/>
            <family val="2"/>
          </rPr>
          <t xml:space="preserve">
Source: </t>
        </r>
        <r>
          <rPr>
            <sz val="9"/>
            <color indexed="81"/>
            <rFont val="Tahoma"/>
            <family val="2"/>
          </rPr>
          <t>F3Q2021 10-Q</t>
        </r>
      </text>
    </comment>
    <comment ref="P21" authorId="0" shapeId="0" xr:uid="{EB39BF7B-4206-4549-A9D2-826082999165}">
      <text>
        <r>
          <rPr>
            <b/>
            <sz val="9"/>
            <color indexed="81"/>
            <rFont val="Tahoma"/>
            <family val="2"/>
          </rPr>
          <t xml:space="preserve">-----------Review of Historic Results--------
MD&amp;A Comment: </t>
        </r>
        <r>
          <rPr>
            <sz val="9"/>
            <color indexed="81"/>
            <rFont val="Tahoma"/>
            <family val="2"/>
          </rPr>
          <t>Interest income and other, net increased $23 million, primarily due to additional gains from certain investments.</t>
        </r>
        <r>
          <rPr>
            <b/>
            <sz val="9"/>
            <color indexed="81"/>
            <rFont val="Tahoma"/>
            <family val="2"/>
          </rPr>
          <t xml:space="preserve">
Source: </t>
        </r>
        <r>
          <rPr>
            <sz val="9"/>
            <color indexed="81"/>
            <rFont val="Tahoma"/>
            <family val="2"/>
          </rPr>
          <t>F3Q2021 10-Q</t>
        </r>
      </text>
    </comment>
    <comment ref="H22" authorId="1" shapeId="0" xr:uid="{E4E3D86D-0162-416D-AD91-EE1851045C89}">
      <text>
        <r>
          <rPr>
            <b/>
            <sz val="9"/>
            <color indexed="81"/>
            <rFont val="Tahoma"/>
            <family val="2"/>
          </rPr>
          <t>F3Q2019 Earnings call (7/25/2019) guidance for FY2019:</t>
        </r>
        <r>
          <rPr>
            <sz val="9"/>
            <color indexed="81"/>
            <rFont val="Tahoma"/>
            <family val="2"/>
          </rPr>
          <t xml:space="preserve"> Interest Expense guided to $330M.</t>
        </r>
      </text>
    </comment>
    <comment ref="M22" authorId="1" shapeId="0" xr:uid="{93416B8C-BE61-4FA6-AACE-3A661D5B31FC}">
      <text>
        <r>
          <rPr>
            <b/>
            <sz val="9"/>
            <color indexed="81"/>
            <rFont val="Tahoma"/>
            <family val="2"/>
          </rPr>
          <t xml:space="preserve">Management Guidance: </t>
        </r>
        <r>
          <rPr>
            <sz val="9"/>
            <color indexed="81"/>
            <rFont val="Tahoma"/>
            <family val="2"/>
          </rPr>
          <t>Interest expense of approximately $435 million to $445 million</t>
        </r>
        <r>
          <rPr>
            <b/>
            <sz val="9"/>
            <color indexed="81"/>
            <rFont val="Tahoma"/>
            <family val="2"/>
          </rPr>
          <t xml:space="preserve">
Source: </t>
        </r>
        <r>
          <rPr>
            <sz val="9"/>
            <color indexed="81"/>
            <rFont val="Tahoma"/>
            <family val="2"/>
          </rPr>
          <t>F3Q2020 Press Release, July 28, 2020</t>
        </r>
      </text>
    </comment>
    <comment ref="N22" authorId="0" shapeId="0" xr:uid="{4E203EE6-D6BD-477B-98CD-46B06622D17E}">
      <text>
        <r>
          <rPr>
            <b/>
            <sz val="9"/>
            <color indexed="81"/>
            <rFont val="Tahoma"/>
            <family val="2"/>
          </rPr>
          <t xml:space="preserve">-----------Review of Historic Results------------MD&amp;A Comment: </t>
        </r>
        <r>
          <rPr>
            <sz val="9"/>
            <color indexed="81"/>
            <rFont val="Tahoma"/>
            <family val="2"/>
          </rPr>
          <t>Interest expense increased $29 million, primarily due to additional interest incurred on long-term debt issued in March 2020 and May 2020.</t>
        </r>
        <r>
          <rPr>
            <b/>
            <sz val="9"/>
            <color indexed="81"/>
            <rFont val="Tahoma"/>
            <family val="2"/>
          </rPr>
          <t xml:space="preserve">
Source: </t>
        </r>
        <r>
          <rPr>
            <sz val="9"/>
            <color indexed="81"/>
            <rFont val="Tahoma"/>
            <family val="2"/>
          </rPr>
          <t>F1Q2021 10-Q</t>
        </r>
      </text>
    </comment>
    <comment ref="P22" authorId="0" shapeId="0" xr:uid="{0BDA21EF-C455-41C0-8A25-745FCE980E5D}">
      <text>
        <r>
          <rPr>
            <b/>
            <sz val="9"/>
            <color indexed="81"/>
            <rFont val="Tahoma"/>
            <family val="2"/>
          </rPr>
          <t xml:space="preserve">-----------Review of Historic Results--------
MD&amp;A Comment: </t>
        </r>
        <r>
          <rPr>
            <sz val="9"/>
            <color indexed="81"/>
            <rFont val="Tahoma"/>
            <family val="2"/>
          </rPr>
          <t>Interest expense decreased $7 million, primarily due to lower debt balances attributed to repayments of short-term and current portion of long-term debt balances.</t>
        </r>
        <r>
          <rPr>
            <b/>
            <sz val="9"/>
            <color indexed="81"/>
            <rFont val="Tahoma"/>
            <family val="2"/>
          </rPr>
          <t xml:space="preserve">
Source: </t>
        </r>
        <r>
          <rPr>
            <sz val="9"/>
            <color indexed="81"/>
            <rFont val="Tahoma"/>
            <family val="2"/>
          </rPr>
          <t>F3Q2021 10-Q</t>
        </r>
      </text>
    </comment>
    <comment ref="R22" authorId="0" shapeId="0" xr:uid="{EB5A9B87-E25E-4876-AA47-CB3E1E9AFB33}">
      <text>
        <r>
          <rPr>
            <b/>
            <sz val="9"/>
            <color indexed="81"/>
            <rFont val="Tahoma"/>
            <family val="2"/>
          </rPr>
          <t xml:space="preserve">Management Guidance: </t>
        </r>
        <r>
          <rPr>
            <sz val="9"/>
            <color indexed="81"/>
            <rFont val="Tahoma"/>
            <family val="2"/>
          </rPr>
          <t xml:space="preserve">  Interest expense of approximately $470 million to $480 million.
</t>
        </r>
        <r>
          <rPr>
            <b/>
            <sz val="9"/>
            <color indexed="81"/>
            <rFont val="Tahoma"/>
            <family val="2"/>
          </rPr>
          <t>Source:</t>
        </r>
        <r>
          <rPr>
            <sz val="9"/>
            <color indexed="81"/>
            <rFont val="Tahoma"/>
            <family val="2"/>
          </rPr>
          <t xml:space="preserve"> F1Q2021 Press Release, January 26, 2021</t>
        </r>
      </text>
    </comment>
    <comment ref="N24" authorId="0" shapeId="0" xr:uid="{3B5FEF69-8498-4E82-ACD4-DC9104FF62BD}">
      <text>
        <r>
          <rPr>
            <b/>
            <sz val="9"/>
            <color indexed="81"/>
            <rFont val="Tahoma"/>
            <family val="2"/>
          </rPr>
          <t xml:space="preserve">-----------Review of Historic Results---------MD&amp;A Comment: </t>
        </r>
        <r>
          <rPr>
            <sz val="9"/>
            <color indexed="81"/>
            <rFont val="Tahoma"/>
            <family val="2"/>
          </rPr>
          <t>The effective tax rate for the quarter ended December 27, 2020 was 23.0% compared to 22.6% for the same quarter in fiscal 2020. The increase was primarily due to the effect of lower pre-tax earnings and the proportionate impacts from certain permanent differences and discrete items, as well as the foreign rate differential on our jurisdictional mix of earnings. This was partially offset by an increase in stock-based compensation excess tax benefits (approximately 190 basis points).</t>
        </r>
        <r>
          <rPr>
            <b/>
            <sz val="9"/>
            <color indexed="81"/>
            <rFont val="Tahoma"/>
            <family val="2"/>
          </rPr>
          <t xml:space="preserve">
Source:</t>
        </r>
        <r>
          <rPr>
            <sz val="9"/>
            <color indexed="81"/>
            <rFont val="Tahoma"/>
            <family val="2"/>
          </rPr>
          <t xml:space="preserve"> F1Q2021 10-Q</t>
        </r>
      </text>
    </comment>
    <comment ref="P24" authorId="0" shapeId="0" xr:uid="{25B4CFB0-CD24-4742-835B-00514339E1FE}">
      <text>
        <r>
          <rPr>
            <b/>
            <sz val="9"/>
            <color indexed="81"/>
            <rFont val="Tahoma"/>
            <family val="2"/>
          </rPr>
          <t xml:space="preserve">-----------Review of Historic Results--------
MD&amp;A Comment: </t>
        </r>
        <r>
          <rPr>
            <sz val="9"/>
            <color indexed="81"/>
            <rFont val="Tahoma"/>
            <family val="2"/>
          </rPr>
          <t>The effective tax rate for the quarter ended June 27, 2021 was 18.2% compared to 16.5% for the same quarter in fiscal 2020. The increase was primarily due to the foreign rate differential on our mix of earnings by tax jurisdictions, as well as a change in the absolute pre-tax operating results when compared to the same period of the prior year. This was partially offset by lapping valuation allowances recorded against deferred tax assets of certain international jurisdictions in the prior year
(approximately 840 basis points), a current year remeasurement of deferred tax assets due to an enacted corporate rate change (approximately 510 basis points) and lapping the release of income tax reserves related to the expiration of statute of limitations in the prior year (approximately 330 basis points).</t>
        </r>
        <r>
          <rPr>
            <b/>
            <sz val="9"/>
            <color indexed="81"/>
            <rFont val="Tahoma"/>
            <family val="2"/>
          </rPr>
          <t xml:space="preserve">
Source: </t>
        </r>
        <r>
          <rPr>
            <sz val="9"/>
            <color indexed="81"/>
            <rFont val="Tahoma"/>
            <family val="2"/>
          </rPr>
          <t>F3Q2021 10-Q</t>
        </r>
      </text>
    </comment>
    <comment ref="H33" authorId="1" shapeId="0" xr:uid="{EA113E74-F58A-4B17-A1E3-2A7A04253ECC}">
      <text>
        <r>
          <rPr>
            <b/>
            <sz val="9"/>
            <color indexed="81"/>
            <rFont val="Tahoma"/>
            <family val="2"/>
          </rPr>
          <t xml:space="preserve">F3Q2019 Earnings call (7/25/2019) guidance for FY2019: </t>
        </r>
        <r>
          <rPr>
            <sz val="9"/>
            <color indexed="81"/>
            <rFont val="Tahoma"/>
            <family val="2"/>
          </rPr>
          <t>GAAP EPS in the range of $2.86 to $2.88</t>
        </r>
        <r>
          <rPr>
            <b/>
            <sz val="9"/>
            <color indexed="81"/>
            <rFont val="Tahoma"/>
            <family val="2"/>
          </rPr>
          <t xml:space="preserve">
Previous Guidance:
F2Q2019 Earnings call guidance for FY2019: </t>
        </r>
        <r>
          <rPr>
            <sz val="9"/>
            <color indexed="81"/>
            <rFont val="Tahoma"/>
            <family val="2"/>
          </rPr>
          <t xml:space="preserve">GAAP EPS in the range of $2.40 to $2.44
</t>
        </r>
        <r>
          <rPr>
            <b/>
            <sz val="9"/>
            <color indexed="81"/>
            <rFont val="Tahoma"/>
            <family val="2"/>
          </rPr>
          <t>F1Q2019 Earnings call guidance for FY2019:</t>
        </r>
        <r>
          <rPr>
            <sz val="9"/>
            <color indexed="81"/>
            <rFont val="Tahoma"/>
            <family val="2"/>
          </rPr>
          <t xml:space="preserve"> GAAP EPS in the range of $2.32 to $2.37
</t>
        </r>
      </text>
    </comment>
    <comment ref="L33" authorId="1" shapeId="0" xr:uid="{F14C1B60-6C32-46FC-8667-3513232E839B}">
      <text>
        <r>
          <rPr>
            <b/>
            <sz val="9"/>
            <color indexed="81"/>
            <rFont val="Tahoma"/>
            <family val="2"/>
          </rPr>
          <t xml:space="preserve">Management Guidance: </t>
        </r>
        <r>
          <rPr>
            <sz val="9"/>
            <color indexed="81"/>
            <rFont val="Tahoma"/>
            <family val="2"/>
          </rPr>
          <t xml:space="preserve">GAAP EPS in the range of $0.06 to $0.21 for Q4.
</t>
        </r>
        <r>
          <rPr>
            <b/>
            <sz val="9"/>
            <color indexed="81"/>
            <rFont val="Tahoma"/>
            <family val="2"/>
          </rPr>
          <t>Source:</t>
        </r>
        <r>
          <rPr>
            <sz val="9"/>
            <color indexed="81"/>
            <rFont val="Tahoma"/>
            <family val="2"/>
          </rPr>
          <t xml:space="preserve"> F3Q2020 Press Release, July 28, 2020</t>
        </r>
      </text>
    </comment>
    <comment ref="M33" authorId="1" shapeId="0" xr:uid="{516F6FB4-184E-42DF-B736-823FC07C4496}">
      <text>
        <r>
          <rPr>
            <b/>
            <sz val="9"/>
            <color indexed="81"/>
            <rFont val="Tahoma"/>
            <family val="2"/>
          </rPr>
          <t>Management Guidance:</t>
        </r>
        <r>
          <rPr>
            <sz val="9"/>
            <color indexed="81"/>
            <rFont val="Tahoma"/>
            <family val="2"/>
          </rPr>
          <t xml:space="preserve"> GAAP EPS in the range of $0.50 to $0.65 for full year.
</t>
        </r>
        <r>
          <rPr>
            <b/>
            <sz val="9"/>
            <color indexed="81"/>
            <rFont val="Tahoma"/>
            <family val="2"/>
          </rPr>
          <t>Source:</t>
        </r>
        <r>
          <rPr>
            <sz val="9"/>
            <color indexed="81"/>
            <rFont val="Tahoma"/>
            <family val="2"/>
          </rPr>
          <t xml:space="preserve"> F3Q2020 Press Release, July 28, 2020</t>
        </r>
      </text>
    </comment>
    <comment ref="O33" authorId="0" shapeId="0" xr:uid="{FECD4373-FBFB-4684-8185-8519926B23A5}">
      <text>
        <r>
          <rPr>
            <b/>
            <sz val="9"/>
            <color indexed="81"/>
            <rFont val="Tahoma"/>
            <family val="2"/>
          </rPr>
          <t xml:space="preserve">Management Guidance: </t>
        </r>
        <r>
          <rPr>
            <sz val="9"/>
            <color indexed="81"/>
            <rFont val="Tahoma"/>
            <family val="2"/>
          </rPr>
          <t>GAAP EPS in the range of $0.36 to $0.41.</t>
        </r>
        <r>
          <rPr>
            <b/>
            <sz val="9"/>
            <color indexed="81"/>
            <rFont val="Tahoma"/>
            <family val="2"/>
          </rPr>
          <t xml:space="preserve">
Source: </t>
        </r>
        <r>
          <rPr>
            <sz val="9"/>
            <color indexed="81"/>
            <rFont val="Tahoma"/>
            <family val="2"/>
          </rPr>
          <t>F1Q2021 Press Release, January 26, 2021</t>
        </r>
      </text>
    </comment>
    <comment ref="R33" authorId="0" shapeId="0" xr:uid="{E1843502-7D9B-4956-8D33-2058487C2E7F}">
      <text>
        <r>
          <rPr>
            <b/>
            <sz val="9"/>
            <color indexed="81"/>
            <rFont val="Tahoma"/>
            <family val="2"/>
          </rPr>
          <t>Management Guidance:</t>
        </r>
        <r>
          <rPr>
            <sz val="9"/>
            <color indexed="81"/>
            <rFont val="Tahoma"/>
            <family val="2"/>
          </rPr>
          <t xml:space="preserve"> GAAP EPS in the range of $2.97 to $3.02, inclusive of a $0.10 impact attributable to the 53rd week
</t>
        </r>
        <r>
          <rPr>
            <b/>
            <sz val="9"/>
            <color indexed="81"/>
            <rFont val="Tahoma"/>
            <family val="2"/>
          </rPr>
          <t>Source:</t>
        </r>
        <r>
          <rPr>
            <sz val="9"/>
            <color indexed="81"/>
            <rFont val="Tahoma"/>
            <family val="2"/>
          </rPr>
          <t xml:space="preserve"> F3Q2021 Press Release
</t>
        </r>
      </text>
    </comment>
    <comment ref="H34" authorId="1" shapeId="0" xr:uid="{57429EA5-29BC-4224-8405-62319249B017}">
      <text>
        <r>
          <rPr>
            <b/>
            <sz val="9"/>
            <color indexed="81"/>
            <rFont val="Tahoma"/>
            <family val="2"/>
          </rPr>
          <t xml:space="preserve">F3Q2019 Earnings call (7/25/2019) guidance for FY2019: </t>
        </r>
        <r>
          <rPr>
            <sz val="9"/>
            <color indexed="81"/>
            <rFont val="Tahoma"/>
            <family val="2"/>
          </rPr>
          <t xml:space="preserve">Non-GAAP EPS in the range of $2.80 to $2.82 </t>
        </r>
        <r>
          <rPr>
            <b/>
            <sz val="9"/>
            <color indexed="81"/>
            <rFont val="Tahoma"/>
            <family val="2"/>
          </rPr>
          <t xml:space="preserve">
Previous Guidance:
F2Q2019 Earnings call guidance for FY2019:</t>
        </r>
        <r>
          <rPr>
            <sz val="9"/>
            <color indexed="81"/>
            <rFont val="Tahoma"/>
            <family val="2"/>
          </rPr>
          <t xml:space="preserve"> Non-GAAP EPS in the range of $2.75 to $2.79 
</t>
        </r>
        <r>
          <rPr>
            <b/>
            <sz val="9"/>
            <color indexed="81"/>
            <rFont val="Tahoma"/>
            <family val="2"/>
          </rPr>
          <t>F1Q2019 Earnings call guidance for FY2019:</t>
        </r>
        <r>
          <rPr>
            <sz val="9"/>
            <color indexed="81"/>
            <rFont val="Tahoma"/>
            <family val="2"/>
          </rPr>
          <t xml:space="preserve"> Non-GAAP EPS in the range of $2.68 to $2.73 </t>
        </r>
      </text>
    </comment>
    <comment ref="L34" authorId="1" shapeId="0" xr:uid="{4A850351-FB9E-4875-9D89-8CBBD852AE19}">
      <text>
        <r>
          <rPr>
            <b/>
            <sz val="9"/>
            <color indexed="81"/>
            <rFont val="Tahoma"/>
            <family val="2"/>
          </rPr>
          <t>Management Guidance:</t>
        </r>
        <r>
          <rPr>
            <sz val="9"/>
            <color indexed="81"/>
            <rFont val="Tahoma"/>
            <family val="2"/>
          </rPr>
          <t xml:space="preserve"> Non-GAAP EPS in the range of $0.18 to $0.33 for Q4.
</t>
        </r>
        <r>
          <rPr>
            <b/>
            <sz val="9"/>
            <color indexed="81"/>
            <rFont val="Tahoma"/>
            <family val="2"/>
          </rPr>
          <t>Source:</t>
        </r>
        <r>
          <rPr>
            <sz val="9"/>
            <color indexed="81"/>
            <rFont val="Tahoma"/>
            <family val="2"/>
          </rPr>
          <t xml:space="preserve"> F3Q2020 Press Release, July 28, 2020</t>
        </r>
      </text>
    </comment>
    <comment ref="M34" authorId="1" shapeId="0" xr:uid="{BCC9F511-5D8D-4077-AAE9-851ADB41E469}">
      <text>
        <r>
          <rPr>
            <b/>
            <sz val="9"/>
            <color indexed="81"/>
            <rFont val="Tahoma"/>
            <family val="2"/>
          </rPr>
          <t xml:space="preserve">Management Guidance: </t>
        </r>
        <r>
          <rPr>
            <sz val="9"/>
            <color indexed="81"/>
            <rFont val="Tahoma"/>
            <family val="2"/>
          </rPr>
          <t xml:space="preserve">Non-GAAP EPS in the range of $0.83 to $0.93 for full year.
</t>
        </r>
        <r>
          <rPr>
            <b/>
            <sz val="9"/>
            <color indexed="81"/>
            <rFont val="Tahoma"/>
            <family val="2"/>
          </rPr>
          <t xml:space="preserve">Source: </t>
        </r>
        <r>
          <rPr>
            <sz val="9"/>
            <color indexed="81"/>
            <rFont val="Tahoma"/>
            <family val="2"/>
          </rPr>
          <t xml:space="preserve">F3Q2020 Press Release, July 28, 2020
</t>
        </r>
        <r>
          <rPr>
            <b/>
            <sz val="9"/>
            <color indexed="81"/>
            <rFont val="Tahoma"/>
            <family val="2"/>
          </rPr>
          <t>Primary Output:</t>
        </r>
        <r>
          <rPr>
            <sz val="9"/>
            <color indexed="81"/>
            <rFont val="Tahoma"/>
            <family val="2"/>
          </rPr>
          <t xml:space="preserve"> After you adjust the Primary Inputs in the model below, your new earnings forecast will recalculate based on the new assumptions resulting in a new EPS estimate, and theoretical target share price band.</t>
        </r>
      </text>
    </comment>
    <comment ref="O34" authorId="0" shapeId="0" xr:uid="{2F2D0B80-99FD-4ABB-BA60-ED248374A5A1}">
      <text>
        <r>
          <rPr>
            <b/>
            <sz val="9"/>
            <color indexed="81"/>
            <rFont val="Tahoma"/>
            <family val="2"/>
          </rPr>
          <t xml:space="preserve">Management Guidance: </t>
        </r>
        <r>
          <rPr>
            <sz val="9"/>
            <color indexed="81"/>
            <rFont val="Tahoma"/>
            <family val="2"/>
          </rPr>
          <t xml:space="preserve">GAAP EPS in the range of $0.45 to $0.50.
</t>
        </r>
        <r>
          <rPr>
            <b/>
            <sz val="9"/>
            <color indexed="81"/>
            <rFont val="Tahoma"/>
            <family val="2"/>
          </rPr>
          <t xml:space="preserve">Source: </t>
        </r>
        <r>
          <rPr>
            <sz val="9"/>
            <color indexed="81"/>
            <rFont val="Tahoma"/>
            <family val="2"/>
          </rPr>
          <t>F1Q2021 Press Release, January 26, 2021</t>
        </r>
      </text>
    </comment>
    <comment ref="R34" authorId="0" shapeId="0" xr:uid="{9B8CEFCF-41E3-4133-840D-8172C45341A7}">
      <text>
        <r>
          <rPr>
            <b/>
            <sz val="9"/>
            <color indexed="81"/>
            <rFont val="Tahoma"/>
            <family val="2"/>
          </rPr>
          <t xml:space="preserve">Management Guidance: </t>
        </r>
        <r>
          <rPr>
            <sz val="9"/>
            <color indexed="81"/>
            <rFont val="Tahoma"/>
            <family val="2"/>
          </rPr>
          <t>Non-GAAP EPS in the range of $3.20 to $3.25, inclusive of a $0.10 impact attributable to the 53rd week.</t>
        </r>
        <r>
          <rPr>
            <b/>
            <sz val="9"/>
            <color indexed="81"/>
            <rFont val="Tahoma"/>
            <family val="2"/>
          </rPr>
          <t xml:space="preserve">
Source: </t>
        </r>
        <r>
          <rPr>
            <sz val="9"/>
            <color indexed="81"/>
            <rFont val="Tahoma"/>
            <family val="2"/>
          </rPr>
          <t>F3Q2021 Press Release</t>
        </r>
      </text>
    </comment>
    <comment ref="V34" authorId="0" shapeId="0" xr:uid="{CC3619B8-A1AD-4ECB-AD57-F91541CCB08E}">
      <text>
        <r>
          <rPr>
            <b/>
            <sz val="9"/>
            <color indexed="81"/>
            <rFont val="Tahoma"/>
            <family val="2"/>
          </rPr>
          <t xml:space="preserve">Guidance: </t>
        </r>
        <r>
          <rPr>
            <sz val="9"/>
            <color indexed="81"/>
            <rFont val="Tahoma"/>
            <family val="2"/>
          </rPr>
          <t xml:space="preserve">"We now expect our Q4 margin and EPS to be lower than Q3 with greater year-over-year pressures primarily due to three reasons. First, the start of mobility recovery in China was later than expected, impacting the pace of recovery previously assumed in Q4. Second, our Q3 performance benefited from approximately $0.05 of non-reoccurring benefits including release of a customs duty accrual, tax credit, government subsidies, and other items which we do not expect to continue in Q4. And third, as previously announced, Q4 will be impacted by a sequential step-up in our investments, as well as our typical seasonality."
</t>
        </r>
        <r>
          <rPr>
            <b/>
            <sz val="9"/>
            <color indexed="81"/>
            <rFont val="Tahoma"/>
            <family val="2"/>
          </rPr>
          <t xml:space="preserve">Source: </t>
        </r>
        <r>
          <rPr>
            <sz val="9"/>
            <color indexed="81"/>
            <rFont val="Tahoma"/>
            <family val="2"/>
          </rPr>
          <t>Investor Day 9/16/2022</t>
        </r>
      </text>
    </comment>
    <comment ref="AL34" authorId="0" shapeId="0" xr:uid="{A1D5E9A8-66B5-4496-B479-101F92686B01}">
      <text>
        <r>
          <rPr>
            <b/>
            <sz val="9"/>
            <color indexed="81"/>
            <rFont val="Tahoma"/>
            <family val="2"/>
          </rPr>
          <t>Guidance:</t>
        </r>
        <r>
          <rPr>
            <sz val="9"/>
            <color indexed="81"/>
            <rFont val="Tahoma"/>
            <family val="2"/>
          </rPr>
          <t xml:space="preserve"> Management guided annual EPS growth between 15% to 20%. 
</t>
        </r>
        <r>
          <rPr>
            <b/>
            <sz val="9"/>
            <color indexed="81"/>
            <rFont val="Tahoma"/>
            <family val="2"/>
          </rPr>
          <t xml:space="preserve">Source: Investor Day 9/16/2022
</t>
        </r>
        <r>
          <rPr>
            <sz val="9"/>
            <color indexed="81"/>
            <rFont val="Tahoma"/>
            <family val="2"/>
          </rPr>
          <t xml:space="preserve">
Assuming 2022 EPS of $2.88 CAGR of 15% to 20% equates to a 2025 EPS range of $4.38 to $4.98.
</t>
        </r>
      </text>
    </comment>
    <comment ref="L35" authorId="1" shapeId="0" xr:uid="{1D5F527E-F618-4C2F-A390-4F43711CC52A}">
      <text>
        <r>
          <rPr>
            <b/>
            <sz val="9"/>
            <color indexed="81"/>
            <rFont val="Tahoma"/>
            <family val="2"/>
          </rPr>
          <t>Note:</t>
        </r>
        <r>
          <rPr>
            <sz val="9"/>
            <color indexed="81"/>
            <rFont val="Tahoma"/>
            <family val="2"/>
          </rPr>
          <t xml:space="preserve"> Management increased the dividend by 14% last year. This year I have entered a 7% increase (half of 14%). If you believe the dividend growth rate will be lower or higher, enter your assumption here.
</t>
        </r>
      </text>
    </comment>
    <comment ref="AL36" authorId="0" shapeId="0" xr:uid="{FDE1C9D1-EF4F-4D3E-B1E3-8A4A4F74B0D9}">
      <text>
        <r>
          <rPr>
            <sz val="9"/>
            <color indexed="81"/>
            <rFont val="Tahoma"/>
            <family val="2"/>
          </rPr>
          <t>Guidance: Management guided dividend payout rate to 50%, approximate dividend yield of 2%, share repurchase impact on EPS 1% (net of incremental interest), adjusted debt-to-EBITDA of 3x, capex of $2.5B to $3.0B, and total return to shareholders of ~$20B. 
Source: Investor Day 9/16/2022
Note: This base-case version of the model attempts to meet the midpoint of the implied range on EPS, and balance the impact of the above items. As a result the exact targets on the long-term goals above goals do not match the guidance exactly. As management discloses additional forecast details in fiscal 2023, these estimates should be adjusted.</t>
        </r>
      </text>
    </comment>
    <comment ref="B40" authorId="0" shapeId="0" xr:uid="{068D0879-DF37-415D-82C9-41DA475A3A56}">
      <text>
        <r>
          <rPr>
            <sz val="9"/>
            <color indexed="81"/>
            <rFont val="Tahoma"/>
            <family val="2"/>
          </rPr>
          <t xml:space="preserve">In F4Q2021 management re-segmented the Latin America stores to the International Segment, and renamed the Americas Segment "Nor America". F4Q2020 and F4Q2021 have been adjusted to reflect the change. 
</t>
        </r>
      </text>
    </comment>
    <comment ref="Q42" authorId="0" shapeId="0" xr:uid="{9A941BB7-A5CF-42CD-B237-314CB9634323}">
      <text>
        <r>
          <rPr>
            <b/>
            <sz val="9"/>
            <color indexed="81"/>
            <rFont val="Tahoma"/>
            <family val="2"/>
          </rPr>
          <t>Primary Input:</t>
        </r>
        <r>
          <rPr>
            <sz val="9"/>
            <color indexed="81"/>
            <rFont val="Tahoma"/>
            <family val="2"/>
          </rPr>
          <t xml:space="preserve"> If you believe the macroeconomic and competitive landscape  will result in a favorable conditions for the company, consider increaseing the number of new stores over time, for each region. If not decrease the store count. </t>
        </r>
      </text>
    </comment>
    <comment ref="N45" authorId="0" shapeId="0" xr:uid="{8E3155B4-C84B-44B8-9859-E2CC96C9E470}">
      <text>
        <r>
          <rPr>
            <b/>
            <sz val="9"/>
            <color indexed="81"/>
            <rFont val="Tahoma"/>
            <family val="2"/>
          </rPr>
          <t>-----------Review of Historic Results------------MD&amp;A Comment:</t>
        </r>
        <r>
          <rPr>
            <sz val="9"/>
            <color indexed="81"/>
            <rFont val="Tahoma"/>
            <family val="2"/>
          </rPr>
          <t xml:space="preserve"> Americas total net revenues for the first quarter of fiscal 2021 decreased $308 million, or 6%, primarily due to a 6% decrease in comparable store sales ($242 million) driven by a 21% decrease in transactions, partially offset by a 20% increase in average ticket. These declines were slightly offset by the opening of new company-operated stores ($62 million).
</t>
        </r>
        <r>
          <rPr>
            <b/>
            <sz val="9"/>
            <color indexed="81"/>
            <rFont val="Tahoma"/>
            <family val="2"/>
          </rPr>
          <t>Source:</t>
        </r>
        <r>
          <rPr>
            <sz val="9"/>
            <color indexed="81"/>
            <rFont val="Tahoma"/>
            <family val="2"/>
          </rPr>
          <t xml:space="preserve"> F1Q2021 10-Q
</t>
        </r>
      </text>
    </comment>
    <comment ref="P45" authorId="0" shapeId="0" xr:uid="{ECFA6761-F9F3-45C3-832E-5FF8EC703AE8}">
      <text>
        <r>
          <rPr>
            <b/>
            <sz val="9"/>
            <color indexed="81"/>
            <rFont val="Tahoma"/>
            <family val="2"/>
          </rPr>
          <t xml:space="preserve">-----------Review of Historic Results--------
MD&amp;A Comment: </t>
        </r>
        <r>
          <rPr>
            <sz val="9"/>
            <color indexed="81"/>
            <rFont val="Tahoma"/>
            <family val="2"/>
          </rPr>
          <t>Americas total net revenues for the third quarter of fiscal 2021 increased $2.6 billion, or 92%, primarily due to an 84% increase in comparable store sales ($2.1 billion) driven by an 82% increase in transactions and a 1% increase in average ticket, and the opening of new company-operated stores ($172 million). Also contributing to these increases were higher product and equipment sales to and royalty revenues from our licensees ($231 million), primarily due to lapping the severe impact of the COVID-19 pandemic in the prior year, and favorable foreign currency translation ($39 million).</t>
        </r>
        <r>
          <rPr>
            <b/>
            <sz val="9"/>
            <color indexed="81"/>
            <rFont val="Tahoma"/>
            <family val="2"/>
          </rPr>
          <t xml:space="preserve">
Source: </t>
        </r>
        <r>
          <rPr>
            <sz val="9"/>
            <color indexed="81"/>
            <rFont val="Tahoma"/>
            <family val="2"/>
          </rPr>
          <t>F3Q2021 10-Q</t>
        </r>
      </text>
    </comment>
    <comment ref="L49" authorId="1" shapeId="0" xr:uid="{B73F883C-446E-4B5B-92C5-DFA7F1107395}">
      <text>
        <r>
          <rPr>
            <b/>
            <sz val="9"/>
            <color indexed="81"/>
            <rFont val="Tahoma"/>
            <family val="2"/>
          </rPr>
          <t xml:space="preserve">Primary Input: </t>
        </r>
        <r>
          <rPr>
            <sz val="9"/>
            <color indexed="81"/>
            <rFont val="Tahoma"/>
            <family val="2"/>
          </rPr>
          <t xml:space="preserve">If you believe the SBUX product offerings, macroeconomic and competitive conditions  will benefit the company, increase the Comp Store Sales rate. If not, decrease the rate.
</t>
        </r>
        <r>
          <rPr>
            <b/>
            <sz val="9"/>
            <color indexed="81"/>
            <rFont val="Tahoma"/>
            <family val="2"/>
          </rPr>
          <t xml:space="preserve">
Management Guidance:</t>
        </r>
        <r>
          <rPr>
            <sz val="9"/>
            <color indexed="81"/>
            <rFont val="Tahoma"/>
            <family val="2"/>
          </rPr>
          <t xml:space="preserve"> Americas and U.S. comparable store sales declines of 12% to 17% for each of Q4 and full year.  (previously declines of 10% to 20% for each of Q4 and full year).
</t>
        </r>
        <r>
          <rPr>
            <b/>
            <sz val="9"/>
            <color indexed="81"/>
            <rFont val="Tahoma"/>
            <family val="2"/>
          </rPr>
          <t>Source:</t>
        </r>
        <r>
          <rPr>
            <sz val="9"/>
            <color indexed="81"/>
            <rFont val="Tahoma"/>
            <family val="2"/>
          </rPr>
          <t xml:space="preserve"> F3Q2020 Press Release, July 28, 2020</t>
        </r>
      </text>
    </comment>
    <comment ref="Q49" authorId="0" shapeId="0" xr:uid="{8D8C590F-8EDA-43DC-B919-5431050E8AF4}">
      <text>
        <r>
          <rPr>
            <b/>
            <sz val="9"/>
            <color indexed="81"/>
            <rFont val="Tahoma"/>
            <family val="2"/>
          </rPr>
          <t>Primary Input:</t>
        </r>
        <r>
          <rPr>
            <sz val="9"/>
            <color indexed="81"/>
            <rFont val="Tahoma"/>
            <family val="2"/>
          </rPr>
          <t xml:space="preserve"> If you believe the SBUX product offerings, macroeconomic and competitive conditions  will benefit the company, increase the Comp Store Sales rate. If not, decrease the rate.
</t>
        </r>
        <r>
          <rPr>
            <b/>
            <sz val="9"/>
            <color indexed="81"/>
            <rFont val="Tahoma"/>
            <family val="2"/>
          </rPr>
          <t>Management Guidance:</t>
        </r>
        <r>
          <rPr>
            <sz val="9"/>
            <color indexed="81"/>
            <rFont val="Tahoma"/>
            <family val="2"/>
          </rPr>
          <t xml:space="preserve"> 22% to 25%
</t>
        </r>
        <r>
          <rPr>
            <b/>
            <sz val="9"/>
            <color indexed="81"/>
            <rFont val="Tahoma"/>
            <family val="2"/>
          </rPr>
          <t xml:space="preserve">Source: </t>
        </r>
        <r>
          <rPr>
            <sz val="9"/>
            <color indexed="81"/>
            <rFont val="Tahoma"/>
            <family val="2"/>
          </rPr>
          <t>F3Q2021 Press Release</t>
        </r>
      </text>
    </comment>
    <comment ref="N54" authorId="0" shapeId="0" xr:uid="{388FCE5F-3B5A-4AAB-B76E-891B03346209}">
      <text>
        <r>
          <rPr>
            <b/>
            <sz val="9"/>
            <color indexed="81"/>
            <rFont val="Tahoma"/>
            <family val="2"/>
          </rPr>
          <t xml:space="preserve">-----------Review of Historic Results------------MD&amp;A Comment: </t>
        </r>
        <r>
          <rPr>
            <sz val="9"/>
            <color indexed="81"/>
            <rFont val="Tahoma"/>
            <family val="2"/>
          </rPr>
          <t>Licensed stores revenues declined by $121.1 million, primarily due to lower product and equipment sales to and royalty revenues from our licensees.</t>
        </r>
        <r>
          <rPr>
            <b/>
            <sz val="9"/>
            <color indexed="81"/>
            <rFont val="Tahoma"/>
            <family val="2"/>
          </rPr>
          <t xml:space="preserve">
Source: </t>
        </r>
        <r>
          <rPr>
            <sz val="9"/>
            <color indexed="81"/>
            <rFont val="Tahoma"/>
            <family val="2"/>
          </rPr>
          <t>F1Q2021 10-Q</t>
        </r>
      </text>
    </comment>
    <comment ref="H58" authorId="1" shapeId="0" xr:uid="{AEADA716-6A22-43B5-9443-CC45C7356A95}">
      <text>
        <r>
          <rPr>
            <b/>
            <sz val="9"/>
            <color indexed="81"/>
            <rFont val="Tahoma"/>
            <family val="2"/>
          </rPr>
          <t>3Q2019 Earnings call (7/25/2019) guidance for FY2019:</t>
        </r>
        <r>
          <rPr>
            <sz val="9"/>
            <color indexed="81"/>
            <rFont val="Tahoma"/>
            <family val="2"/>
          </rPr>
          <t xml:space="preserve"> ~2,000 net new Starbucks stores globally
Americas over 600
CAP ~1,100 (nearly 600 in China)
</t>
        </r>
        <r>
          <rPr>
            <u/>
            <sz val="9"/>
            <color indexed="81"/>
            <rFont val="Tahoma"/>
            <family val="2"/>
          </rPr>
          <t>EMEA ~300</t>
        </r>
        <r>
          <rPr>
            <sz val="9"/>
            <color indexed="81"/>
            <rFont val="Tahoma"/>
            <family val="2"/>
          </rPr>
          <t xml:space="preserve"> (virtually all license)</t>
        </r>
        <r>
          <rPr>
            <b/>
            <sz val="9"/>
            <color indexed="81"/>
            <rFont val="Tahoma"/>
            <family val="2"/>
          </rPr>
          <t xml:space="preserve">
Previous Guidance:
2Q2019 Earnings call guidance for FY2019: </t>
        </r>
        <r>
          <rPr>
            <sz val="9"/>
            <color indexed="81"/>
            <rFont val="Tahoma"/>
            <family val="2"/>
          </rPr>
          <t>~2,100 net new Starbucks stores globally
Americas over 600
CAP ~1,100 (nearly 600 in China)
EMEA ~400 (virtually all license)</t>
        </r>
      </text>
    </comment>
    <comment ref="M58" authorId="1" shapeId="0" xr:uid="{96CF84FE-40A4-4470-80BD-34CD7649D784}">
      <text>
        <r>
          <rPr>
            <sz val="9"/>
            <color indexed="81"/>
            <rFont val="Tahoma"/>
            <family val="2"/>
          </rPr>
          <t>M</t>
        </r>
        <r>
          <rPr>
            <b/>
            <sz val="9"/>
            <color indexed="81"/>
            <rFont val="Tahoma"/>
            <family val="2"/>
          </rPr>
          <t>anagement Gudiance:</t>
        </r>
        <r>
          <rPr>
            <sz val="9"/>
            <color indexed="81"/>
            <rFont val="Tahoma"/>
            <family val="2"/>
          </rPr>
          <t xml:space="preserve"> Americas approximately 300 net new stores
</t>
        </r>
        <r>
          <rPr>
            <b/>
            <sz val="9"/>
            <color indexed="81"/>
            <rFont val="Tahoma"/>
            <family val="2"/>
          </rPr>
          <t xml:space="preserve">Source: </t>
        </r>
        <r>
          <rPr>
            <sz val="9"/>
            <color indexed="81"/>
            <rFont val="Tahoma"/>
            <family val="2"/>
          </rPr>
          <t>F3Q2020 Press Release, July 28, 2020</t>
        </r>
      </text>
    </comment>
    <comment ref="R58" authorId="0" shapeId="0" xr:uid="{6644AF96-0F18-4501-BB27-9A43B85AB8DE}">
      <text>
        <r>
          <rPr>
            <b/>
            <sz val="9"/>
            <color indexed="81"/>
            <rFont val="Tahoma"/>
            <family val="2"/>
          </rPr>
          <t xml:space="preserve">Management Guidance: </t>
        </r>
        <r>
          <rPr>
            <sz val="9"/>
            <color indexed="81"/>
            <rFont val="Tahoma"/>
            <family val="2"/>
          </rPr>
          <t xml:space="preserve">Approximately flat
</t>
        </r>
        <r>
          <rPr>
            <b/>
            <sz val="9"/>
            <color indexed="81"/>
            <rFont val="Tahoma"/>
            <family val="2"/>
          </rPr>
          <t>Source:</t>
        </r>
        <r>
          <rPr>
            <sz val="9"/>
            <color indexed="81"/>
            <rFont val="Tahoma"/>
            <family val="2"/>
          </rPr>
          <t xml:space="preserve"> F3Q2021 Press Release</t>
        </r>
      </text>
    </comment>
    <comment ref="H72" authorId="1" shapeId="0" xr:uid="{730B61BE-DB08-49F0-A65F-594BC1784DEE}">
      <text>
        <r>
          <rPr>
            <b/>
            <sz val="9"/>
            <color indexed="81"/>
            <rFont val="Tahoma"/>
            <family val="2"/>
          </rPr>
          <t xml:space="preserve">F3Q2019 Earnings call (7/25/2019) guidance for FY2019:
</t>
        </r>
        <r>
          <rPr>
            <sz val="9"/>
            <color indexed="81"/>
            <rFont val="Tahoma"/>
            <family val="2"/>
          </rPr>
          <t xml:space="preserve">Consolidated operating margin down moderately
&gt;Americas operating margin up slightly
&gt;CAP operating margin roughly flat
&gt;EMEA operating margin improving over the course of 2019
&gt;Channel Development operating margin mid-30% range
</t>
        </r>
        <r>
          <rPr>
            <b/>
            <sz val="9"/>
            <color indexed="81"/>
            <rFont val="Tahoma"/>
            <family val="2"/>
          </rPr>
          <t xml:space="preserve">
Past Guidance:
F2Q2019 Earnings call guidance for FY2019:
</t>
        </r>
        <r>
          <rPr>
            <sz val="9"/>
            <color indexed="81"/>
            <rFont val="Tahoma"/>
            <family val="2"/>
          </rPr>
          <t xml:space="preserve">Consolidated operating margin down moderately
&gt;Americas operating margin </t>
        </r>
        <r>
          <rPr>
            <u/>
            <sz val="9"/>
            <color indexed="81"/>
            <rFont val="Tahoma"/>
            <family val="2"/>
          </rPr>
          <t>up</t>
        </r>
        <r>
          <rPr>
            <sz val="9"/>
            <color indexed="81"/>
            <rFont val="Tahoma"/>
            <family val="2"/>
          </rPr>
          <t xml:space="preserve"> slightly
&gt;CAP operating margin roughly flat
&gt;EMEA operating margin improving over the course of 2019
&gt;Channel Development operating margin </t>
        </r>
        <r>
          <rPr>
            <u/>
            <sz val="9"/>
            <color indexed="81"/>
            <rFont val="Tahoma"/>
            <family val="2"/>
          </rPr>
          <t>mid-30%</t>
        </r>
        <r>
          <rPr>
            <sz val="9"/>
            <color indexed="81"/>
            <rFont val="Tahoma"/>
            <family val="2"/>
          </rPr>
          <t xml:space="preserve"> range</t>
        </r>
        <r>
          <rPr>
            <b/>
            <sz val="9"/>
            <color indexed="81"/>
            <rFont val="Tahoma"/>
            <family val="2"/>
          </rPr>
          <t xml:space="preserve">
F1Q2019 Earnings call guidance for FY2019:
</t>
        </r>
        <r>
          <rPr>
            <sz val="9"/>
            <color indexed="81"/>
            <rFont val="Tahoma"/>
            <family val="2"/>
          </rPr>
          <t>Consolidated operating margin down moderately
&gt;Americas operating margin down slightly
&gt;CAP operating margin roughly flat
&gt;EMEA operating margin improving over the course of 2019
&gt;Channel Development operating margin high 30% range</t>
        </r>
      </text>
    </comment>
    <comment ref="N72" authorId="0" shapeId="0" xr:uid="{C0E7FE00-4AC3-4A2A-9B93-B8E438BC8F8A}">
      <text>
        <r>
          <rPr>
            <b/>
            <sz val="9"/>
            <color indexed="81"/>
            <rFont val="Tahoma"/>
            <family val="2"/>
          </rPr>
          <t xml:space="preserve">-----------Review of Historic Results------------
MD&amp;A Comment: </t>
        </r>
        <r>
          <rPr>
            <sz val="9"/>
            <color indexed="81"/>
            <rFont val="Tahoma"/>
            <family val="2"/>
          </rPr>
          <t xml:space="preserve">Americas operating income for the first quarter of fiscal 2021 decreased 26% to $814 million, compared to $1.1 billion in the first quarter of fiscal 2020. Operating margin decreased 460 basis points to 17.3%, primarily due to sales deleverage attributed to COVID-19 impacts. In addition, we also incurred additional costs, primarily catastrophe pay programs for retail store partners incurred, net of benefits provided by the CARES Act and CEWS (approximately 40 basis points), and growth in wages and benefits (approximately 200 basis points). Higher restructuring expenses relating to our Americas portfolio optimization (approximately 140 basis points) also contributed to the decrease. Partially offsetting these decreases were improved labor efficiencies (approximately 260 basis points) and pricing (approximately 110 basis points).
</t>
        </r>
        <r>
          <rPr>
            <b/>
            <sz val="9"/>
            <color indexed="81"/>
            <rFont val="Tahoma"/>
            <family val="2"/>
          </rPr>
          <t xml:space="preserve">Source: </t>
        </r>
        <r>
          <rPr>
            <sz val="9"/>
            <color indexed="81"/>
            <rFont val="Tahoma"/>
            <family val="2"/>
          </rPr>
          <t>F1Q2021 10-Q</t>
        </r>
      </text>
    </comment>
    <comment ref="O72" authorId="1" shapeId="0" xr:uid="{5FB11CAE-D70C-4D9F-8983-A2E67AF1682B}">
      <text>
        <r>
          <rPr>
            <b/>
            <sz val="9"/>
            <color indexed="81"/>
            <rFont val="Tahoma"/>
            <family val="2"/>
          </rPr>
          <t xml:space="preserve">Comment from F3Q2020 Earnings Call: </t>
        </r>
        <r>
          <rPr>
            <sz val="9"/>
            <color indexed="81"/>
            <rFont val="Tahoma"/>
            <family val="2"/>
          </rPr>
          <t>"We anticipate that comparable store sales will substantially recover in China and the US in fiscal 2021 by the end of our first and second quarters, respectively. Additionally, we expect that margin recovery for each business will trail sales recovery by about two quarters."</t>
        </r>
      </text>
    </comment>
    <comment ref="P72" authorId="0" shapeId="0" xr:uid="{1C8616F7-2B0D-4CD1-A5A7-C70A41AAD386}">
      <text>
        <r>
          <rPr>
            <b/>
            <sz val="9"/>
            <color indexed="81"/>
            <rFont val="Tahoma"/>
            <family val="2"/>
          </rPr>
          <t>-----------Review of Historic Results--------
MD&amp;A Comment:</t>
        </r>
        <r>
          <rPr>
            <sz val="9"/>
            <color indexed="81"/>
            <rFont val="Tahoma"/>
            <family val="2"/>
          </rPr>
          <t xml:space="preserve"> Americas operating income for the third quarter of fiscal 2021 was $1.3 billion, compared to a loss of $405 million in the third quarter of fiscal 2020. Operating margin increased 3,880 basis points to 24.4%, primarily due to sales leverage from business recovery and lapping higher COVID-19 related costs in the prior year, mainly catastrophe and service pay for store partners, net of temporary subsidies provided by the CARES Act and CEWS (approximately 930 basis points). Also contributing to the margin improvements were lower restructuring expenses (approximately 160 basis points), pricing (approximately 150 basis points) and benefits from the closure of lower-performing stores (approximately 80 basis points). These increases were partially offset by additional investments in retail store partners wages and benefits (approximately 110 basis points) and increased supply chain costs attributed to inflation (approximately 70 basis points).</t>
        </r>
        <r>
          <rPr>
            <b/>
            <sz val="9"/>
            <color indexed="81"/>
            <rFont val="Tahoma"/>
            <family val="2"/>
          </rPr>
          <t xml:space="preserve">
Source: </t>
        </r>
        <r>
          <rPr>
            <sz val="9"/>
            <color indexed="81"/>
            <rFont val="Tahoma"/>
            <family val="2"/>
          </rPr>
          <t>F3Q2021 10-Q</t>
        </r>
      </text>
    </comment>
    <comment ref="F75" authorId="1" shapeId="0" xr:uid="{E30AC53E-F4C5-4C3A-AC44-A9391BDDDC6C}">
      <text>
        <r>
          <rPr>
            <b/>
            <sz val="9"/>
            <color indexed="81"/>
            <rFont val="Tahoma"/>
            <family val="2"/>
          </rPr>
          <t xml:space="preserve">Primary Input: </t>
        </r>
        <r>
          <rPr>
            <sz val="9"/>
            <color indexed="81"/>
            <rFont val="Tahoma"/>
            <family val="2"/>
          </rPr>
          <t>Similar comment as with the Americas Region above.</t>
        </r>
        <r>
          <rPr>
            <b/>
            <sz val="9"/>
            <color indexed="81"/>
            <rFont val="Tahoma"/>
            <family val="2"/>
          </rPr>
          <t xml:space="preserve">
</t>
        </r>
      </text>
    </comment>
    <comment ref="N78" authorId="0" shapeId="0" xr:uid="{ED800D1D-CBBD-4A4B-BBE7-9D432CC24557}">
      <text>
        <r>
          <rPr>
            <b/>
            <sz val="9"/>
            <color indexed="81"/>
            <rFont val="Tahoma"/>
            <family val="2"/>
          </rPr>
          <t xml:space="preserve">-----------Review of Historic Results------------MD&amp;A Comment: </t>
        </r>
        <r>
          <rPr>
            <sz val="9"/>
            <color indexed="81"/>
            <rFont val="Tahoma"/>
            <family val="2"/>
          </rPr>
          <t>International total net revenues for the first quarter of fiscal 2021 increased $83 million, or 5%. Company-operated store revenues increased $132 million, primarily driven by 658 net new Starbucks company-operated stores, or an 11% increase, over the past 12 months ($108 million) and favorable foreign currency translation ($71 million). These were partially offset by a 3% decline in comparable store sales ($37 million), driven by a 10% decrease in transactions, partially offset by an 8% increase in average ticket.</t>
        </r>
        <r>
          <rPr>
            <b/>
            <sz val="9"/>
            <color indexed="81"/>
            <rFont val="Tahoma"/>
            <family val="2"/>
          </rPr>
          <t xml:space="preserve">
Source: </t>
        </r>
        <r>
          <rPr>
            <sz val="9"/>
            <color indexed="81"/>
            <rFont val="Tahoma"/>
            <family val="2"/>
          </rPr>
          <t>F1Q2021 10-Q</t>
        </r>
      </text>
    </comment>
    <comment ref="P78" authorId="0" shapeId="0" xr:uid="{62824567-1CA4-4071-87E5-C80E39D8E62D}">
      <text>
        <r>
          <rPr>
            <b/>
            <sz val="9"/>
            <color indexed="81"/>
            <rFont val="Tahoma"/>
            <family val="2"/>
          </rPr>
          <t xml:space="preserve">-----------Review of Historic Results--------
MD&amp;A Comment: </t>
        </r>
        <r>
          <rPr>
            <sz val="9"/>
            <color indexed="81"/>
            <rFont val="Tahoma"/>
            <family val="2"/>
          </rPr>
          <t>International total net revenues for the third quarter of fiscal 2021 increased $709 million, or 75%. Company-operated store revenues increased $558 million, primarily due to a 41% increase in comparable store sales ($373 million), driven by a 55% increase in transactions, partially offset by a 9% decrease in average ticket. Additionally there were 761 net new stores, a 12% increase, over the past 12 months ($96 million). Also contributing to the increase in net revenues were
higher product and equipment sales to and royalty revenues from our licensees ($135 million) and favorable foreign currency translation ($94 million)</t>
        </r>
        <r>
          <rPr>
            <b/>
            <sz val="9"/>
            <color indexed="81"/>
            <rFont val="Tahoma"/>
            <family val="2"/>
          </rPr>
          <t xml:space="preserve">
Source: </t>
        </r>
        <r>
          <rPr>
            <sz val="9"/>
            <color indexed="81"/>
            <rFont val="Tahoma"/>
            <family val="2"/>
          </rPr>
          <t>F3Q2021 10-Q</t>
        </r>
      </text>
    </comment>
    <comment ref="F82" authorId="1" shapeId="0" xr:uid="{76EE3C94-3179-4C11-8F1C-D2F714E92BE7}">
      <text>
        <r>
          <rPr>
            <b/>
            <sz val="9"/>
            <color indexed="81"/>
            <rFont val="Tahoma"/>
            <family val="2"/>
          </rPr>
          <t xml:space="preserve">Primary Input: </t>
        </r>
        <r>
          <rPr>
            <sz val="9"/>
            <color indexed="81"/>
            <rFont val="Tahoma"/>
            <family val="2"/>
          </rPr>
          <t>Similar comment as with the Americas Region above (also remember that U.S. Dollar strength is a headwind for SBUX).</t>
        </r>
      </text>
    </comment>
    <comment ref="L82" authorId="1" shapeId="0" xr:uid="{FEE02790-793A-4DE5-87F7-773D6E295377}">
      <text>
        <r>
          <rPr>
            <b/>
            <sz val="9"/>
            <color indexed="81"/>
            <rFont val="Tahoma"/>
            <family val="2"/>
          </rPr>
          <t>Primary Input:</t>
        </r>
        <r>
          <rPr>
            <sz val="9"/>
            <color indexed="81"/>
            <rFont val="Tahoma"/>
            <family val="2"/>
          </rPr>
          <t xml:space="preserve"> If you believe the SBUX product offerings, macroeconomic and competitive conditions  will benefit the company, increase the Comp Store Sales rate. If not, decrease the rate.
</t>
        </r>
        <r>
          <rPr>
            <b/>
            <sz val="9"/>
            <color indexed="81"/>
            <rFont val="Tahoma"/>
            <family val="2"/>
          </rPr>
          <t xml:space="preserve">Management Guidance: </t>
        </r>
        <r>
          <rPr>
            <sz val="9"/>
            <color indexed="81"/>
            <rFont val="Tahoma"/>
            <family val="2"/>
          </rPr>
          <t xml:space="preserve">International comparable store sales declines of 10% to 15% for Q4 and 20% to 25% for full year inclusive of a benefit from value-added tax exemption of approximately 3% and 1%, respectively  (previously declines of 10% to 20% for Q4 and 20% to 30% for full year).
</t>
        </r>
        <r>
          <rPr>
            <b/>
            <sz val="9"/>
            <color indexed="81"/>
            <rFont val="Tahoma"/>
            <family val="2"/>
          </rPr>
          <t xml:space="preserve">Source: </t>
        </r>
        <r>
          <rPr>
            <sz val="9"/>
            <color indexed="81"/>
            <rFont val="Tahoma"/>
            <family val="2"/>
          </rPr>
          <t xml:space="preserve">F3Q2020 Press Release, July 28, 2020
</t>
        </r>
        <r>
          <rPr>
            <b/>
            <sz val="9"/>
            <color indexed="81"/>
            <rFont val="Tahoma"/>
            <family val="2"/>
          </rPr>
          <t xml:space="preserve">Comment from F3Q2020 Earnings Call: </t>
        </r>
        <r>
          <rPr>
            <sz val="9"/>
            <color indexed="81"/>
            <rFont val="Tahoma"/>
            <family val="2"/>
          </rPr>
          <t xml:space="preserve">"Moving on to our International segment, with the expectation of COVID-19 impacts continuing to ease in the fourth quarter, particularly in Japan, we now expect International's comparable store sales to decline between 10% and 15% in Q4, including a 3% favorable VAT impact. For China specifically, we expect Q4 comparable store sales to range between flat and minus 5%.
Although this is generally in line with our previous guidance and now reflects both a new tailwind and a new headwind, the new tailwind is the temporary VAT exemption which I mentioned earlier, benefiting China's fourth quarter comp sales growth by about 4 percentage points. The new headwind is a combination of factors. First, COVID-related emergency response measures in Beijing where Starbucks currently has over 360 locations. And second, a prolonged slowdown in international and domestic travel, impacting Starbucks locations at China's airports and tourist venues. We expect the VAT exemption will expire at the end of December"
</t>
        </r>
      </text>
    </comment>
    <comment ref="Q82" authorId="0" shapeId="0" xr:uid="{D1D97911-3B0A-44C6-8D47-54ACAD1C2E6B}">
      <text>
        <r>
          <rPr>
            <b/>
            <sz val="9"/>
            <color indexed="81"/>
            <rFont val="Tahoma"/>
            <family val="2"/>
          </rPr>
          <t>Primary Input:</t>
        </r>
        <r>
          <rPr>
            <sz val="9"/>
            <color indexed="81"/>
            <rFont val="Tahoma"/>
            <family val="2"/>
          </rPr>
          <t xml:space="preserve"> If you believe the SBUX product offerings, macroeconomic and competitive conditions  will benefit the company, increase the Comp Store Sales rate. If not, decrease the rate.
</t>
        </r>
        <r>
          <rPr>
            <b/>
            <sz val="9"/>
            <color indexed="81"/>
            <rFont val="Tahoma"/>
            <family val="2"/>
          </rPr>
          <t xml:space="preserve">Management Guidance: </t>
        </r>
        <r>
          <rPr>
            <sz val="9"/>
            <color indexed="81"/>
            <rFont val="Tahoma"/>
            <family val="2"/>
          </rPr>
          <t xml:space="preserve"> Mid to high single digits.
</t>
        </r>
        <r>
          <rPr>
            <b/>
            <sz val="9"/>
            <color indexed="81"/>
            <rFont val="Tahoma"/>
            <family val="2"/>
          </rPr>
          <t xml:space="preserve">Source: </t>
        </r>
        <r>
          <rPr>
            <sz val="9"/>
            <color indexed="81"/>
            <rFont val="Tahoma"/>
            <family val="2"/>
          </rPr>
          <t>F3Q2021 Press Release</t>
        </r>
      </text>
    </comment>
    <comment ref="M84" authorId="1" shapeId="0" xr:uid="{7FAA06B1-8AEF-4BC0-99C4-CF224A56D2BE}">
      <text>
        <r>
          <rPr>
            <b/>
            <sz val="9"/>
            <color indexed="81"/>
            <rFont val="Tahoma"/>
            <family val="2"/>
          </rPr>
          <t xml:space="preserve">Management Gudiance: </t>
        </r>
        <r>
          <rPr>
            <sz val="9"/>
            <color indexed="81"/>
            <rFont val="Tahoma"/>
            <family val="2"/>
          </rPr>
          <t>Management does not provide guidance for the entire International segment, but did guide China to at least 300 net new stores.</t>
        </r>
        <r>
          <rPr>
            <b/>
            <sz val="9"/>
            <color indexed="81"/>
            <rFont val="Tahoma"/>
            <family val="2"/>
          </rPr>
          <t xml:space="preserve">
Source: </t>
        </r>
        <r>
          <rPr>
            <sz val="9"/>
            <color indexed="81"/>
            <rFont val="Tahoma"/>
            <family val="2"/>
          </rPr>
          <t>F3Q2020 Press Release, July 28, 2020</t>
        </r>
      </text>
    </comment>
    <comment ref="K86" authorId="1" shapeId="0" xr:uid="{5E348626-5C2F-49C2-A1C8-A2D6F0B8560A}">
      <text>
        <r>
          <rPr>
            <b/>
            <sz val="9"/>
            <color indexed="81"/>
            <rFont val="Tahoma"/>
            <family val="2"/>
          </rPr>
          <t>Comment from F3Q2020 Earnings Call:</t>
        </r>
        <r>
          <rPr>
            <sz val="9"/>
            <color indexed="81"/>
            <rFont val="Tahoma"/>
            <family val="2"/>
          </rPr>
          <t xml:space="preserve"> "Also contributing to the decline were lower product sales to our licensees as a result of lost sales related to the COVID-19 outbreak as well as temporary royalty relief that we granted our international licensees. And there was an additional 2% revenue dilutive impact of transitioning our Thailand business to licensed operations last year."</t>
        </r>
      </text>
    </comment>
    <comment ref="N87" authorId="0" shapeId="0" xr:uid="{CB52CB68-292F-421B-8024-73F2707127E1}">
      <text>
        <r>
          <rPr>
            <b/>
            <sz val="9"/>
            <color indexed="81"/>
            <rFont val="Tahoma"/>
            <family val="2"/>
          </rPr>
          <t>-----------Review of Historic Results--------MD&amp;A Comment:</t>
        </r>
        <r>
          <rPr>
            <sz val="9"/>
            <color indexed="81"/>
            <rFont val="Tahoma"/>
            <family val="2"/>
          </rPr>
          <t xml:space="preserve"> Licensed stores revenues declined by $57.1 million, primarily due to lower product and equipment sales to and royalty revenues from our licensees.
</t>
        </r>
        <r>
          <rPr>
            <b/>
            <sz val="9"/>
            <color indexed="81"/>
            <rFont val="Tahoma"/>
            <family val="2"/>
          </rPr>
          <t>Source:</t>
        </r>
        <r>
          <rPr>
            <sz val="9"/>
            <color indexed="81"/>
            <rFont val="Tahoma"/>
            <family val="2"/>
          </rPr>
          <t xml:space="preserve"> F1Q2021 10-Q</t>
        </r>
      </text>
    </comment>
    <comment ref="R91" authorId="0" shapeId="0" xr:uid="{E77FC09B-C012-4B65-BAE6-E3F6F12E1F0B}">
      <text>
        <r>
          <rPr>
            <b/>
            <sz val="9"/>
            <color indexed="81"/>
            <rFont val="Tahoma"/>
            <family val="2"/>
          </rPr>
          <t xml:space="preserve">Management Guidance: </t>
        </r>
        <r>
          <rPr>
            <sz val="9"/>
            <color indexed="81"/>
            <rFont val="Tahoma"/>
            <family val="2"/>
          </rPr>
          <t xml:space="preserve">Approximately 1,100 net new stores.
</t>
        </r>
        <r>
          <rPr>
            <b/>
            <sz val="9"/>
            <color indexed="81"/>
            <rFont val="Tahoma"/>
            <family val="2"/>
          </rPr>
          <t>Source:</t>
        </r>
        <r>
          <rPr>
            <sz val="9"/>
            <color indexed="81"/>
            <rFont val="Tahoma"/>
            <family val="2"/>
          </rPr>
          <t xml:space="preserve"> F3Q2021 Press Release</t>
        </r>
      </text>
    </comment>
    <comment ref="N106" authorId="0" shapeId="0" xr:uid="{C21B6200-2C0A-45B3-ADFF-5616580C0FA2}">
      <text>
        <r>
          <rPr>
            <b/>
            <sz val="9"/>
            <color indexed="81"/>
            <rFont val="Tahoma"/>
            <family val="2"/>
          </rPr>
          <t>-----------Review of Historic Results------------
MD&amp;A Comment:</t>
        </r>
        <r>
          <rPr>
            <sz val="9"/>
            <color indexed="81"/>
            <rFont val="Tahoma"/>
            <family val="2"/>
          </rPr>
          <t xml:space="preserve"> International operating income for the first quarter of fiscal 2021 was $275 million, compared to $276 million in the first quarter of fiscal 2020. Operating margin decreased 100 basis points to 16.6%, primarily due to sales deleverage attributable to COVID-19, as well as additional costs incurred to invest in partner wages and benefits (approximately 70 basis points). These were partially offset by labor efficiencies (approximately 80 basis points).</t>
        </r>
        <r>
          <rPr>
            <b/>
            <sz val="9"/>
            <color indexed="81"/>
            <rFont val="Tahoma"/>
            <family val="2"/>
          </rPr>
          <t xml:space="preserve">
Source:</t>
        </r>
        <r>
          <rPr>
            <sz val="9"/>
            <color indexed="81"/>
            <rFont val="Tahoma"/>
            <family val="2"/>
          </rPr>
          <t xml:space="preserve"> F1Q2021 10-Q</t>
        </r>
      </text>
    </comment>
    <comment ref="O106" authorId="1" shapeId="0" xr:uid="{85E23F14-D719-4242-86A5-A4FE1DF78AE0}">
      <text>
        <r>
          <rPr>
            <b/>
            <sz val="9"/>
            <color indexed="81"/>
            <rFont val="Tahoma"/>
            <family val="2"/>
          </rPr>
          <t>Comment from F3Q2020 Earnings Call:</t>
        </r>
        <r>
          <rPr>
            <sz val="9"/>
            <color indexed="81"/>
            <rFont val="Tahoma"/>
            <family val="2"/>
          </rPr>
          <t xml:space="preserve"> "We anticipate that comparable store sales will substantially recover in China and the US in fiscal 2021 by the end of our first and second quarters, respectively. Additionally, we expect that margin recovery for each business will trail sales recovery by about two quarters."</t>
        </r>
      </text>
    </comment>
    <comment ref="P106" authorId="0" shapeId="0" xr:uid="{7891103E-75C7-4A36-8949-AF4FA8348C7B}">
      <text>
        <r>
          <rPr>
            <b/>
            <sz val="9"/>
            <color indexed="81"/>
            <rFont val="Tahoma"/>
            <family val="2"/>
          </rPr>
          <t xml:space="preserve">-----------Review of Historic Results--------
MD&amp;A Comment: </t>
        </r>
        <r>
          <rPr>
            <sz val="9"/>
            <color indexed="81"/>
            <rFont val="Tahoma"/>
            <family val="2"/>
          </rPr>
          <t>International operating income for the third quarter of fiscal 2021 was $318 million, compared to a loss of $86 million in the third quarter of fiscal 2020. Operating margin increased 2,830 basis points to 19.2%, primarily due to sales leverage driven by lapping the severe impact of the COVID-19 pandemic in the prior year as well labor efficiencies (approximately 310 basis points). Also contributing to this increase was lower catastrophe pay (approximately 290 basis points), lapping
temporary royalty relief provided to licensees in the prior year (approximately 230 basis points) and higher temporary government subsidies approximately 200 basis points).</t>
        </r>
        <r>
          <rPr>
            <b/>
            <sz val="9"/>
            <color indexed="81"/>
            <rFont val="Tahoma"/>
            <family val="2"/>
          </rPr>
          <t xml:space="preserve">
Source: </t>
        </r>
        <r>
          <rPr>
            <sz val="9"/>
            <color indexed="81"/>
            <rFont val="Tahoma"/>
            <family val="2"/>
          </rPr>
          <t>F3Q2021 10-Q</t>
        </r>
      </text>
    </comment>
    <comment ref="B107" authorId="1" shapeId="0" xr:uid="{575ACD48-1191-4EB3-88DD-E4605D990788}">
      <text>
        <r>
          <rPr>
            <b/>
            <sz val="9"/>
            <color indexed="81"/>
            <rFont val="Tahoma"/>
            <family val="2"/>
          </rPr>
          <t xml:space="preserve">Description of Channel Development Segment from 10-K: </t>
        </r>
        <r>
          <rPr>
            <sz val="9"/>
            <color indexed="81"/>
            <rFont val="Tahoma"/>
            <family val="2"/>
          </rPr>
          <t xml:space="preserve">"Our Channel Development segment includes roasted whole bean and ground coffees, Seattle's Best Coffee®, Starbucks- and Teavana-branded single-serve
products, a variety of ready-to-drink beverages, such as Frappuccino®, Starbucks Doubleshot®, Starbucks Refreshers® beverages and TeavanaTM/MC iced tea, and other branded products sold worldwide outside of our company-operated and licensed stores. Historically our consumer packaged goods ("CPG") have been sold directly to grocery, warehouse club and specialty retail stores and through institutional foodservice companies. With the establishment of the Global Coffee Alliance with Nestlé, a large portion of our Channel Development business transitioned to a licensed model in the fourth quarter of fiscal 2018. Our collaborative relationships with PepsiCo, Inc., Anheuser-Busch InBev, Tingyi Holding Corp., Arla Foods and others for our global ready-to-drink beverage businesses in this segment are excluded from the Global Coffee Alliance."
</t>
        </r>
      </text>
    </comment>
    <comment ref="K108" authorId="1" shapeId="0" xr:uid="{4170CEA4-9DFC-4EF2-87F1-218494F36804}">
      <text>
        <r>
          <rPr>
            <b/>
            <sz val="9"/>
            <color indexed="81"/>
            <rFont val="Tahoma"/>
            <family val="2"/>
          </rPr>
          <t>Comment from F3Q2020 Earnings Call: "</t>
        </r>
        <r>
          <rPr>
            <sz val="9"/>
            <color indexed="81"/>
            <rFont val="Tahoma"/>
            <family val="2"/>
          </rPr>
          <t xml:space="preserve">When normalizing for the 21% unfavorable impact of lapping Global Coffee Alliance transition-related items that benefited the prior year including higher inventory sales as Nestlé prepared to fulfill customer orders"...based on the fact that the high revenue mark in F3Q2019 was due in part to higher inventory sales, the F3Q2021 revenue will probably be somewhat below this level.
</t>
        </r>
      </text>
    </comment>
    <comment ref="N108" authorId="0" shapeId="0" xr:uid="{F95EAC54-A193-4D63-ADF0-51E51EB020AE}">
      <text>
        <r>
          <rPr>
            <b/>
            <sz val="9"/>
            <color indexed="81"/>
            <rFont val="Tahoma"/>
            <family val="2"/>
          </rPr>
          <t>-----------Review of Historic Results------------
MD&amp;A Comment:</t>
        </r>
        <r>
          <rPr>
            <sz val="9"/>
            <color indexed="81"/>
            <rFont val="Tahoma"/>
            <family val="2"/>
          </rPr>
          <t xml:space="preserve"> Channel Development total net revenues for the first quarter of fiscal 2021 decreased $123 million, or 25%, primarily due to the transition of certain single-serve product activities to Nestlé ($91 million) and lapping of transition activities related to the Global Coffee Alliance ($21 million). Also contributing were lower Global Coffee Alliance revenues ($18 million), mainly driven by the Foodservice business, which experienced softening due to COVID-19. These were partially offset by growth in at-home coffee and our ready-to-drink business.
</t>
        </r>
        <r>
          <rPr>
            <b/>
            <sz val="9"/>
            <color indexed="81"/>
            <rFont val="Tahoma"/>
            <family val="2"/>
          </rPr>
          <t>Source:</t>
        </r>
        <r>
          <rPr>
            <sz val="9"/>
            <color indexed="81"/>
            <rFont val="Tahoma"/>
            <family val="2"/>
          </rPr>
          <t xml:space="preserve"> F1Q2021 10-Q</t>
        </r>
      </text>
    </comment>
    <comment ref="P108" authorId="0" shapeId="0" xr:uid="{49670993-45A6-4F2C-88B5-D21C26F9BCDB}">
      <text>
        <r>
          <rPr>
            <b/>
            <sz val="9"/>
            <color indexed="81"/>
            <rFont val="Tahoma"/>
            <family val="2"/>
          </rPr>
          <t xml:space="preserve">-----------Review of Historic Results--------
MD&amp;A Comment: </t>
        </r>
        <r>
          <rPr>
            <sz val="9"/>
            <color indexed="81"/>
            <rFont val="Tahoma"/>
            <family val="2"/>
          </rPr>
          <t>Channel Development total net revenues for the third quarter of fiscal 2021 decreased $33 million, or 7%, primarily due to the transition of certain single-serve product activities to Nestlé ($74 million). This was partially offset by higher product sales and royalty revenue in the Global Coffee Alliance ($30 million) and growth in our ready-to-drink business. We expect the impacts from the transition to be substantially completed by the end of fiscal 2021</t>
        </r>
        <r>
          <rPr>
            <b/>
            <sz val="9"/>
            <color indexed="81"/>
            <rFont val="Tahoma"/>
            <family val="2"/>
          </rPr>
          <t xml:space="preserve">
Source: </t>
        </r>
        <r>
          <rPr>
            <sz val="9"/>
            <color indexed="81"/>
            <rFont val="Tahoma"/>
            <family val="2"/>
          </rPr>
          <t>F3Q2021 10-Q</t>
        </r>
      </text>
    </comment>
    <comment ref="R108" authorId="0" shapeId="0" xr:uid="{379D2FD1-0BE8-41F6-BB25-BA92D4A48DA2}">
      <text>
        <r>
          <rPr>
            <b/>
            <sz val="9"/>
            <color indexed="81"/>
            <rFont val="Tahoma"/>
            <family val="2"/>
          </rPr>
          <t xml:space="preserve">Management Guidance: </t>
        </r>
        <r>
          <rPr>
            <sz val="9"/>
            <color indexed="81"/>
            <rFont val="Tahoma"/>
            <family val="2"/>
          </rPr>
          <t xml:space="preserve">Channel Development revenue of $1.5 billion to $1.6 billion
</t>
        </r>
        <r>
          <rPr>
            <b/>
            <sz val="9"/>
            <color indexed="81"/>
            <rFont val="Tahoma"/>
            <family val="2"/>
          </rPr>
          <t>Source:</t>
        </r>
        <r>
          <rPr>
            <sz val="9"/>
            <color indexed="81"/>
            <rFont val="Tahoma"/>
            <family val="2"/>
          </rPr>
          <t xml:space="preserve"> F3Q2021 Press Release</t>
        </r>
      </text>
    </comment>
    <comment ref="M109" authorId="1" shapeId="0" xr:uid="{43057167-014E-4012-90A2-6882E312FE17}">
      <text>
        <r>
          <rPr>
            <b/>
            <sz val="9"/>
            <color indexed="81"/>
            <rFont val="Tahoma"/>
            <family val="2"/>
          </rPr>
          <t xml:space="preserve">Management Gudiance: </t>
        </r>
        <r>
          <rPr>
            <sz val="9"/>
            <color indexed="81"/>
            <rFont val="Tahoma"/>
            <family val="2"/>
          </rPr>
          <t xml:space="preserve">Channel Development revenue decline of 5% to 6% for full year.
</t>
        </r>
        <r>
          <rPr>
            <b/>
            <sz val="9"/>
            <color indexed="81"/>
            <rFont val="Tahoma"/>
            <family val="2"/>
          </rPr>
          <t>Source:</t>
        </r>
        <r>
          <rPr>
            <sz val="9"/>
            <color indexed="81"/>
            <rFont val="Tahoma"/>
            <family val="2"/>
          </rPr>
          <t xml:space="preserve"> F3Q2020 Press Release, July 28, 2020</t>
        </r>
      </text>
    </comment>
    <comment ref="N120" authorId="0" shapeId="0" xr:uid="{826CAB12-866D-43F7-BA74-FF08026DC03D}">
      <text>
        <r>
          <rPr>
            <b/>
            <sz val="9"/>
            <color indexed="81"/>
            <rFont val="Tahoma"/>
            <family val="2"/>
          </rPr>
          <t>-----------Review of Historic Results------------
MD&amp;A Comment:</t>
        </r>
        <r>
          <rPr>
            <sz val="9"/>
            <color indexed="81"/>
            <rFont val="Tahoma"/>
            <family val="2"/>
          </rPr>
          <t xml:space="preserve"> Channel Development operating income for the first quarter of fiscal 2021 increased 3% to $181 million, compared to $176 million in the first quarter of fiscal 2020. Operating margin increased 1,320 basis points to 48.7%, primarily due to the transfer of certain single-serve products to Nestlé as part of the Global Coffee Alliance (approximately 820 basis points). Strong performance from our North American Coffee Partnership joint venture also contributed.
</t>
        </r>
        <r>
          <rPr>
            <b/>
            <sz val="9"/>
            <color indexed="81"/>
            <rFont val="Tahoma"/>
            <family val="2"/>
          </rPr>
          <t>Source:</t>
        </r>
        <r>
          <rPr>
            <sz val="9"/>
            <color indexed="81"/>
            <rFont val="Tahoma"/>
            <family val="2"/>
          </rPr>
          <t xml:space="preserve"> F1Q2021 10-Q</t>
        </r>
      </text>
    </comment>
    <comment ref="P120" authorId="0" shapeId="0" xr:uid="{4D988C07-8FC0-489F-B2C4-83EC362617F1}">
      <text>
        <r>
          <rPr>
            <b/>
            <sz val="9"/>
            <color indexed="81"/>
            <rFont val="Tahoma"/>
            <family val="2"/>
          </rPr>
          <t>-----------Review of Historic Results--------
MD&amp;A Comment:</t>
        </r>
        <r>
          <rPr>
            <sz val="9"/>
            <color indexed="81"/>
            <rFont val="Tahoma"/>
            <family val="2"/>
          </rPr>
          <t xml:space="preserve"> Channel Development operating income for the third quarter of fiscal 2021 increased 74% to $216 million, compared to $124 million in the third quarter of fiscal 2020. Operating margin increased 2,440 basis points to 52.2%, primarily due to lower Global Coffee Alliance transaction costs, inclusive of lapping certain transition items from prior year (approximately 780 basis points) and a change in estimate relating to a transaction cost accrual (approximately 550 basis points), as well as the transfer of certain single-serve products to Nestlé as part of the Global Coffee Alliance (approximately 700 basis points). Strong performance from our
North American Coffee Partnership joint venture also contributed</t>
        </r>
        <r>
          <rPr>
            <b/>
            <sz val="9"/>
            <color indexed="81"/>
            <rFont val="Tahoma"/>
            <family val="2"/>
          </rPr>
          <t xml:space="preserve">
Source: </t>
        </r>
        <r>
          <rPr>
            <sz val="9"/>
            <color indexed="81"/>
            <rFont val="Tahoma"/>
            <family val="2"/>
          </rPr>
          <t>F3Q2021 10-Q</t>
        </r>
      </text>
    </comment>
    <comment ref="H121" authorId="1" shapeId="0" xr:uid="{3DDABBA9-F4CC-404C-8895-A75C5654F1C4}">
      <text>
        <r>
          <rPr>
            <b/>
            <sz val="9"/>
            <color indexed="81"/>
            <rFont val="Tahoma"/>
            <family val="2"/>
          </rPr>
          <t xml:space="preserve">F3Q2019 Earnings call (7/25/2019) guidance for FY2019:
</t>
        </r>
        <r>
          <rPr>
            <sz val="9"/>
            <color indexed="81"/>
            <rFont val="Tahoma"/>
            <family val="2"/>
          </rPr>
          <t>Consolidated operating margin down moderately
&gt;Americas operating margin up slightly
&gt;CAP operating margin roughly flat
&gt;EMEA operating margin improving over the course of 2019
&gt;Channel Development operating margin mid-30% range</t>
        </r>
        <r>
          <rPr>
            <b/>
            <sz val="9"/>
            <color indexed="81"/>
            <rFont val="Tahoma"/>
            <family val="2"/>
          </rPr>
          <t xml:space="preserve">
Past Guidance:
F2Q2019 Earnings call guidance for FY2019:
</t>
        </r>
        <r>
          <rPr>
            <sz val="9"/>
            <color indexed="81"/>
            <rFont val="Tahoma"/>
            <family val="2"/>
          </rPr>
          <t>Consolidated operating margin down moderately
&gt;Americas operating margin up slightly
&gt;CAP operating margin roughly flat
&gt;EMEA operating margin improving over the course of 2019
&gt;Channel Development operating margin mid-30% range</t>
        </r>
        <r>
          <rPr>
            <b/>
            <sz val="9"/>
            <color indexed="81"/>
            <rFont val="Tahoma"/>
            <family val="2"/>
          </rPr>
          <t xml:space="preserve">
F1Q2019 Earnings call guidance for FY2019:
</t>
        </r>
        <r>
          <rPr>
            <sz val="9"/>
            <color indexed="81"/>
            <rFont val="Tahoma"/>
            <family val="2"/>
          </rPr>
          <t>Consolidated operating margin down moderately
&gt;Americas operating margin down slightly
&gt;CAP operating margin roughly flat
&gt;EMEA operating margin improving over the course of 2019
&gt;Channel Development operating margin high 30% range</t>
        </r>
      </text>
    </comment>
    <comment ref="K121" authorId="1" shapeId="0" xr:uid="{5127A686-399D-4D79-A209-55A238AF1056}">
      <text>
        <r>
          <rPr>
            <b/>
            <sz val="9"/>
            <color indexed="81"/>
            <rFont val="Tahoma"/>
            <family val="2"/>
          </rPr>
          <t>Comment from F3Q2020 Earnings Call: "</t>
        </r>
        <r>
          <rPr>
            <sz val="9"/>
            <color indexed="81"/>
            <rFont val="Tahoma"/>
            <family val="2"/>
          </rPr>
          <t>Normalizing for the 460 basis point impact of the transition activities I just mentioned, Channel Development's non-GAAP operating margin contracted 340 basis points in Q3. The contraction was due primarily to a business mix shift within Channel Development as well as deleverage on fixed coffee manufacturing costs shared across the company's operating segments driven by lower retail production volumes resulting from COVID-19."</t>
        </r>
      </text>
    </comment>
    <comment ref="N131" authorId="0" shapeId="0" xr:uid="{5091AECB-FF0C-44CB-9D34-7AC96ACC5EFC}">
      <text>
        <r>
          <rPr>
            <b/>
            <sz val="9"/>
            <color indexed="81"/>
            <rFont val="Tahoma"/>
            <family val="2"/>
          </rPr>
          <t xml:space="preserve">-----------Review of Historic Results------------
MD&amp;A Comment: </t>
        </r>
        <r>
          <rPr>
            <sz val="9"/>
            <color indexed="81"/>
            <rFont val="Tahoma"/>
            <family val="2"/>
          </rPr>
          <t>Corporate and Other primarily consists of our unallocated corporate expenses, as well as Evolution Fresh. Unallocated corporate expenses include corporate administrative functions that support the operating segments but are not specifically attributable to or managed by any segment and are not included in the reported financial results of the operating segments.
Corporate and Other operating loss increased to $356 million for the first fiscal quarter of 2021, or 8%, compared to $330 million for the first fiscal quarter of
2020. This increase was primarily driven by incremental strategic investments in technology and higher performance-based compensation recognizing the strength of the company's overall recovery from pandemic-related business impacts.</t>
        </r>
        <r>
          <rPr>
            <b/>
            <sz val="9"/>
            <color indexed="81"/>
            <rFont val="Tahoma"/>
            <family val="2"/>
          </rPr>
          <t xml:space="preserve">
Source: </t>
        </r>
        <r>
          <rPr>
            <sz val="9"/>
            <color indexed="81"/>
            <rFont val="Tahoma"/>
            <family val="2"/>
          </rPr>
          <t>F1Q2021 10-Q</t>
        </r>
      </text>
    </comment>
    <comment ref="P131" authorId="0" shapeId="0" xr:uid="{A8A93B60-4F91-4D4D-A0D5-C7554856CC47}">
      <text>
        <r>
          <rPr>
            <b/>
            <sz val="9"/>
            <color indexed="81"/>
            <rFont val="Tahoma"/>
            <family val="2"/>
          </rPr>
          <t xml:space="preserve">-----------Review of Historic Results--------
MD&amp;A Comment: </t>
        </r>
        <r>
          <rPr>
            <sz val="9"/>
            <color indexed="81"/>
            <rFont val="Tahoma"/>
            <family val="2"/>
          </rPr>
          <t xml:space="preserve">Corporate and Other primarily consists of our unallocated corporate expenses, as well as Evolution Fresh. Unallocated corporate expenses include corporate administrative functions that support the operating segments but are not specifically attributable to or managed by any segment and are not included in the reported financial results of the operating segments.
Corporate and Other operating loss increased to $361 million for the third quarter of fiscal 2021, or 7%, compared to $337 million for the third quarter of fiscal
2020. This increase was primarily driven by higher performance-based compensation recognizing the better than expected business recovery ($37 million) and incremental strategic investments in technology ($19 million).
</t>
        </r>
        <r>
          <rPr>
            <b/>
            <sz val="9"/>
            <color indexed="81"/>
            <rFont val="Tahoma"/>
            <family val="2"/>
          </rPr>
          <t xml:space="preserve">
Source:</t>
        </r>
        <r>
          <rPr>
            <sz val="9"/>
            <color indexed="81"/>
            <rFont val="Tahoma"/>
            <family val="2"/>
          </rPr>
          <t xml:space="preserve"> F3Q2021 10-Q</t>
        </r>
      </text>
    </comment>
    <comment ref="AL139" authorId="0" shapeId="0" xr:uid="{D6A23AA0-401E-4E07-AAAD-CE5C9985AD18}">
      <text>
        <r>
          <rPr>
            <sz val="9"/>
            <color indexed="81"/>
            <rFont val="Tahoma"/>
            <family val="2"/>
          </rPr>
          <t>Guidance: Global store growth of 7% annually approaching 45,000 stores by the end of 2025 (from fiscal 2023 to 2025). 
Source: Investor Day 9/16/2022</t>
        </r>
      </text>
    </comment>
    <comment ref="H140" authorId="1" shapeId="0" xr:uid="{7402B69A-1889-456F-8192-2731AB09174C}">
      <text>
        <r>
          <rPr>
            <b/>
            <sz val="9"/>
            <color indexed="81"/>
            <rFont val="Tahoma"/>
            <family val="2"/>
          </rPr>
          <t xml:space="preserve">3Q2019 Earnings call (7/25/2019) guidance for FY2019: </t>
        </r>
        <r>
          <rPr>
            <sz val="9"/>
            <color indexed="81"/>
            <rFont val="Tahoma"/>
            <family val="2"/>
          </rPr>
          <t>Revenue growth of 7%.</t>
        </r>
        <r>
          <rPr>
            <b/>
            <sz val="9"/>
            <color indexed="81"/>
            <rFont val="Tahoma"/>
            <family val="2"/>
          </rPr>
          <t xml:space="preserve">
Previous Guidance:
2Q2019 Earnings call guidance for FY2019: </t>
        </r>
        <r>
          <rPr>
            <sz val="9"/>
            <color indexed="81"/>
            <rFont val="Tahoma"/>
            <family val="2"/>
          </rPr>
          <t>Revenue growth between 5% and 7%.
"As a reminder, we will lap the East China acquisition at the
beginning of Q2, at which point we will no longer see the year-over-year benefit to our total revenue growth. At the
same time, we will still bear the year-over-year revenue headwind from the Global Coffee Alliance. We expect
these factors to yield significantly lower revenue growth in Q2 compared to Q1.  
Given the fact that Q2 is a seasonally low period for us and with the continued substantial carryover of last year's U.S. tax reform-related
investments, we also expect our non-GAAP operating margin percentage to be lower in Q2 compared to Q1.
We are in the early phases of our G&amp;A reduction program, having just started in Q1 and the benefits to the P&amp;L
will not begin to meaningfully materialize until the back half of the fiscal year. This is an area of continued focus
for us and we remain committed to reducing G&amp;A spending as a percentage of system sales over the next three
years to drive profitable growth-at-scale, while making the necessary investments in our business. As we start to
lap the tax reform-related investments in Q3 and with the benefit of our continued focus on improving G&amp;A
efficiency, we expect our non-GAAP operating margin percentage to be higher in the second half of the year
compared to the first half, even with the one-time cost of our global leadership conference that will impact Q4.
Please note that all of this is consistent with our full year guidance for 2019.</t>
        </r>
      </text>
    </comment>
    <comment ref="L140" authorId="1" shapeId="0" xr:uid="{CC3144DF-AC79-4AFA-8DFC-7BEA8E5A05F6}">
      <text>
        <r>
          <rPr>
            <b/>
            <sz val="9"/>
            <color indexed="81"/>
            <rFont val="Tahoma"/>
            <family val="2"/>
          </rPr>
          <t>Management Guidance:</t>
        </r>
        <r>
          <rPr>
            <sz val="9"/>
            <color indexed="81"/>
            <rFont val="Tahoma"/>
            <family val="2"/>
          </rPr>
          <t xml:space="preserve"> Consolidated revenue decline of 10% to 15% for Q4.
</t>
        </r>
        <r>
          <rPr>
            <b/>
            <sz val="9"/>
            <color indexed="81"/>
            <rFont val="Tahoma"/>
            <family val="2"/>
          </rPr>
          <t>Source:</t>
        </r>
        <r>
          <rPr>
            <sz val="9"/>
            <color indexed="81"/>
            <rFont val="Tahoma"/>
            <family val="2"/>
          </rPr>
          <t xml:space="preserve"> F3Q2020 Press Release, July 28, 2020</t>
        </r>
      </text>
    </comment>
    <comment ref="AL140" authorId="0" shapeId="0" xr:uid="{A884C390-595D-4C36-A83B-74EA421D7986}">
      <text>
        <r>
          <rPr>
            <sz val="9"/>
            <color indexed="81"/>
            <rFont val="Tahoma"/>
            <family val="2"/>
          </rPr>
          <t>Guidance: Global revenue growth of 10% to 12% annually (from fiscal 2023 to 2025).
Source: Investor Day 9/16/2022</t>
        </r>
      </text>
    </comment>
    <comment ref="R141" authorId="0" shapeId="0" xr:uid="{65D75F40-77F1-4130-BE11-FF0498B4C3BE}">
      <text>
        <r>
          <rPr>
            <b/>
            <sz val="9"/>
            <color indexed="81"/>
            <rFont val="Tahoma"/>
            <family val="2"/>
          </rPr>
          <t xml:space="preserve">Management Guidance: </t>
        </r>
        <r>
          <rPr>
            <sz val="9"/>
            <color indexed="81"/>
            <rFont val="Tahoma"/>
            <family val="2"/>
          </rPr>
          <t xml:space="preserve">  Consolidated GAAP operating margin of ~17%.
</t>
        </r>
        <r>
          <rPr>
            <b/>
            <sz val="9"/>
            <color indexed="81"/>
            <rFont val="Tahoma"/>
            <family val="2"/>
          </rPr>
          <t>Source:</t>
        </r>
        <r>
          <rPr>
            <sz val="9"/>
            <color indexed="81"/>
            <rFont val="Tahoma"/>
            <family val="2"/>
          </rPr>
          <t xml:space="preserve"> F3Q2021 Press Release</t>
        </r>
      </text>
    </comment>
    <comment ref="R142" authorId="0" shapeId="0" xr:uid="{8B56D107-5967-4DA6-B66E-A1590D1B5CEA}">
      <text>
        <r>
          <rPr>
            <b/>
            <sz val="9"/>
            <color indexed="81"/>
            <rFont val="Tahoma"/>
            <family val="2"/>
          </rPr>
          <t>Management Guidance:</t>
        </r>
        <r>
          <rPr>
            <sz val="9"/>
            <color indexed="81"/>
            <rFont val="Tahoma"/>
            <family val="2"/>
          </rPr>
          <t xml:space="preserve">   Consolidated Non-GAAP operating margin of ~18%
</t>
        </r>
        <r>
          <rPr>
            <b/>
            <sz val="9"/>
            <color indexed="81"/>
            <rFont val="Tahoma"/>
            <family val="2"/>
          </rPr>
          <t>Source:</t>
        </r>
        <r>
          <rPr>
            <sz val="9"/>
            <color indexed="81"/>
            <rFont val="Tahoma"/>
            <family val="2"/>
          </rPr>
          <t xml:space="preserve"> F3Q2021 Press Release</t>
        </r>
      </text>
    </comment>
    <comment ref="V142" authorId="0" shapeId="0" xr:uid="{32AC78C0-E149-4D1B-9AD1-49043DE60A9F}">
      <text>
        <r>
          <rPr>
            <b/>
            <sz val="9"/>
            <color indexed="81"/>
            <rFont val="Tahoma"/>
            <family val="2"/>
          </rPr>
          <t xml:space="preserve">Guidance: </t>
        </r>
        <r>
          <rPr>
            <sz val="9"/>
            <color indexed="81"/>
            <rFont val="Tahoma"/>
            <family val="2"/>
          </rPr>
          <t>"We now expect our Q4 margin and EPS to be lower than Q3 with greater year-over-year pressures primarily due to three reasons. First, the start of mobility recovery in China was later than expected, impacting the pace of recovery previously assumed in Q4. Second, our Q3 performance benefited from approximately $0.05 of non-reoccurring benefits including release of a customs duty accrual, tax credit, government subsidies, and other items which we do not expect to continue in Q4. And third, as previously announced, Q4 will be impacted by a sequential step-up in our investments, as well as our typical seasonality."</t>
        </r>
        <r>
          <rPr>
            <b/>
            <sz val="9"/>
            <color indexed="81"/>
            <rFont val="Tahoma"/>
            <family val="2"/>
          </rPr>
          <t xml:space="preserve">
Source: Investor Day 9/16/2022
</t>
        </r>
      </text>
    </comment>
    <comment ref="AL142" authorId="0" shapeId="0" xr:uid="{E89BE8A9-CE31-49D6-96C9-4A1C5F8C2AF3}">
      <text>
        <r>
          <rPr>
            <sz val="9"/>
            <color indexed="81"/>
            <rFont val="Tahoma"/>
            <family val="2"/>
          </rPr>
          <t>Guidance: Expect “Solid” margin expansion in fiscal 2023 with “progressively more expansion” in fiscal 2024 and 2025.
Source: Investor Day 9/16/2022</t>
        </r>
      </text>
    </comment>
    <comment ref="H143" authorId="1" shapeId="0" xr:uid="{ADC2BC19-D668-41AC-9B5E-BF82E5423967}">
      <text>
        <r>
          <rPr>
            <b/>
            <sz val="9"/>
            <color indexed="81"/>
            <rFont val="Tahoma"/>
            <family val="2"/>
          </rPr>
          <t xml:space="preserve">F3Q2019 Earnings call (7/25/2019) guidance for FY2019: </t>
        </r>
        <r>
          <rPr>
            <sz val="9"/>
            <color indexed="81"/>
            <rFont val="Tahoma"/>
            <family val="2"/>
          </rPr>
          <t>19% to 20%, Non-GAAP tax rate in the range of 19% to 20%.</t>
        </r>
        <r>
          <rPr>
            <b/>
            <sz val="9"/>
            <color indexed="81"/>
            <rFont val="Tahoma"/>
            <family val="2"/>
          </rPr>
          <t xml:space="preserve">
Previous Guidance:
F2Q2019 Earnings call guidance for FY2019: </t>
        </r>
        <r>
          <rPr>
            <sz val="9"/>
            <color indexed="81"/>
            <rFont val="Tahoma"/>
            <family val="2"/>
          </rPr>
          <t xml:space="preserve">20% to 22%, Non-GAAP tax rate in the range of 19% to 21%.
</t>
        </r>
        <r>
          <rPr>
            <b/>
            <sz val="9"/>
            <color indexed="81"/>
            <rFont val="Tahoma"/>
            <family val="2"/>
          </rPr>
          <t>F1Q2019 Earnings call guidance for FY2019:</t>
        </r>
        <r>
          <rPr>
            <sz val="9"/>
            <color indexed="81"/>
            <rFont val="Tahoma"/>
            <family val="2"/>
          </rPr>
          <t xml:space="preserve"> 21% to 23%</t>
        </r>
      </text>
    </comment>
    <comment ref="L143" authorId="1" shapeId="0" xr:uid="{436D405C-0856-4573-B944-820A296EB120}">
      <text>
        <r>
          <rPr>
            <b/>
            <sz val="9"/>
            <color indexed="81"/>
            <rFont val="Tahoma"/>
            <family val="2"/>
          </rPr>
          <t>Management Guidance:</t>
        </r>
        <r>
          <rPr>
            <sz val="9"/>
            <color indexed="81"/>
            <rFont val="Tahoma"/>
            <family val="2"/>
          </rPr>
          <t xml:space="preserve"> GAAP and non-GAAP effective tax rates in the range of mid- to high-20%s.
</t>
        </r>
        <r>
          <rPr>
            <b/>
            <sz val="9"/>
            <color indexed="81"/>
            <rFont val="Tahoma"/>
            <family val="2"/>
          </rPr>
          <t>Source:</t>
        </r>
        <r>
          <rPr>
            <sz val="9"/>
            <color indexed="81"/>
            <rFont val="Tahoma"/>
            <family val="2"/>
          </rPr>
          <t xml:space="preserve"> F3Q2020 Press Release, July 28, 2020</t>
        </r>
      </text>
    </comment>
    <comment ref="R143" authorId="0" shapeId="0" xr:uid="{B33E9F73-359B-4741-B655-1643B56478E1}">
      <text>
        <r>
          <rPr>
            <b/>
            <sz val="9"/>
            <color indexed="81"/>
            <rFont val="Tahoma"/>
            <family val="2"/>
          </rPr>
          <t xml:space="preserve">Management Guidance:  </t>
        </r>
        <r>
          <rPr>
            <sz val="9"/>
            <color indexed="81"/>
            <rFont val="Tahoma"/>
            <family val="2"/>
          </rPr>
          <t xml:space="preserve"> GAAP and non-GAAP effective tax rates in the low-20%s
</t>
        </r>
        <r>
          <rPr>
            <b/>
            <sz val="9"/>
            <color indexed="81"/>
            <rFont val="Tahoma"/>
            <family val="2"/>
          </rPr>
          <t>Source:</t>
        </r>
        <r>
          <rPr>
            <sz val="9"/>
            <color indexed="81"/>
            <rFont val="Tahoma"/>
            <family val="2"/>
          </rPr>
          <t xml:space="preserve"> F3Q2021 Press Release</t>
        </r>
      </text>
    </comment>
    <comment ref="X143" authorId="0" shapeId="0" xr:uid="{8520DD91-D38E-4DFE-A52A-45CA49BD7717}">
      <text>
        <r>
          <rPr>
            <sz val="9"/>
            <color indexed="81"/>
            <rFont val="Tahoma"/>
            <family val="2"/>
          </rPr>
          <t>"We expect our non-GAAP effective tax rate to be between 24% and 25%. This range translates to an EPS headwind of roughly 4% year-on-year and is meaningfully higher than the non-GAAP tax rate of 21.3% in fiscal 2021 which benefited from certain discrete tax benefits that are not expected to repeat to the same degree in fiscal 2022."</t>
        </r>
        <r>
          <rPr>
            <b/>
            <sz val="9"/>
            <color indexed="81"/>
            <rFont val="Tahoma"/>
            <family val="2"/>
          </rPr>
          <t xml:space="preserve">
Source: </t>
        </r>
        <r>
          <rPr>
            <sz val="9"/>
            <color indexed="81"/>
            <rFont val="Tahoma"/>
            <family val="2"/>
          </rPr>
          <t>F4Q2021 earnings call</t>
        </r>
      </text>
    </comment>
    <comment ref="AL149" authorId="0" shapeId="0" xr:uid="{A9194EDF-3E8E-4B77-942F-430B9A8A14FC}">
      <text>
        <r>
          <rPr>
            <sz val="9"/>
            <color indexed="81"/>
            <rFont val="Tahoma"/>
            <family val="2"/>
          </rPr>
          <t>Guidance: Management guided annual EPS growth between 15% to 20%. 
Source: Investor Day 9/16/2022
Assuming 2022 EPS of $2.88 CAGR of 15% to 20% equates to a 2025 EPS range of $4.38 to $4.98.</t>
        </r>
      </text>
    </comment>
    <comment ref="B150" authorId="1" shapeId="0" xr:uid="{54272ECA-D690-487E-A7A8-DD9AA0BF156C}">
      <text>
        <r>
          <rPr>
            <b/>
            <sz val="9"/>
            <color indexed="81"/>
            <rFont val="Tahoma"/>
            <family val="2"/>
          </rPr>
          <t>Note:</t>
        </r>
        <r>
          <rPr>
            <sz val="9"/>
            <color indexed="81"/>
            <rFont val="Tahoma"/>
            <family val="2"/>
          </rPr>
          <t xml:space="preserve"> Item 2 Unregistered Sales of Equity Securities includes the ASRs. They have been seperated here. (Refer to F1Q2019 and F2Q2019 to reconcile)</t>
        </r>
      </text>
    </comment>
    <comment ref="AC153" authorId="0" shapeId="0" xr:uid="{265B2663-105F-4E9C-BBFE-7CC2B78EE02B}">
      <text>
        <r>
          <rPr>
            <sz val="9"/>
            <color indexed="81"/>
            <rFont val="Tahoma"/>
            <family val="2"/>
          </rPr>
          <t>Management is assuming a 2% dividend yield in their forecast.</t>
        </r>
      </text>
    </comment>
    <comment ref="AH153" authorId="0" shapeId="0" xr:uid="{B9746A8E-B4D2-495E-BE33-DCF9140364D2}">
      <text>
        <r>
          <rPr>
            <sz val="9"/>
            <color indexed="81"/>
            <rFont val="Tahoma"/>
            <family val="2"/>
          </rPr>
          <t>Management is assuming a 2% dividend yield in their forecast.</t>
        </r>
      </text>
    </comment>
    <comment ref="B165" authorId="1" shapeId="0" xr:uid="{0A5D1A8D-DC9D-4EEA-A13E-C4C1D77031D1}">
      <text>
        <r>
          <rPr>
            <sz val="9"/>
            <color indexed="81"/>
            <rFont val="Tahoma"/>
            <family val="2"/>
          </rPr>
          <t>Includes transaction costs for the acquisition of our East China joint venture; ongoing amortization expense of acquired
intangible assets associated with the acquisition of East China and Starbucks Japan; and the related post-acquisition integration costs, such as incremental information technology and compensation-related costs</t>
        </r>
      </text>
    </comment>
    <comment ref="Q169" authorId="0" shapeId="0" xr:uid="{138E14F2-3D32-488F-8BE8-6EBD59D856BB}">
      <text>
        <r>
          <rPr>
            <b/>
            <sz val="9"/>
            <color indexed="81"/>
            <rFont val="Tahoma"/>
            <family val="2"/>
          </rPr>
          <t>Note:</t>
        </r>
        <r>
          <rPr>
            <sz val="9"/>
            <color indexed="81"/>
            <rFont val="Tahoma"/>
            <family val="2"/>
          </rPr>
          <t xml:space="preserve"> management's guidance for non-GAAP EPS is "inclusive of the impact attributable to the 53rd week" therefore we will not remove it here.</t>
        </r>
      </text>
    </comment>
    <comment ref="B172" authorId="1" shapeId="0" xr:uid="{E9D30C8C-C7B7-48FD-AB19-D12F061989C8}">
      <text>
        <r>
          <rPr>
            <b/>
            <sz val="9"/>
            <color indexed="81"/>
            <rFont val="Tahoma"/>
            <family val="2"/>
          </rPr>
          <t>Enter negative EPS income tax effect as positive on this line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Admin</author>
    <author>John Moschella</author>
  </authors>
  <commentList>
    <comment ref="B53" authorId="0" shapeId="0" xr:uid="{6109D979-9E6B-4606-916F-72ED3CC546C5}">
      <text>
        <r>
          <rPr>
            <sz val="9"/>
            <color indexed="81"/>
            <rFont val="Tahoma"/>
            <family val="2"/>
          </rPr>
          <t>Since Assets must equal Liabilities + Equity, we use Liabilities + Equity in this equation to have the securities balance move with the balance sheet without causing a circular reference error.</t>
        </r>
      </text>
    </comment>
    <comment ref="R64" authorId="1" shapeId="0" xr:uid="{009B669D-0A77-4D97-AAE5-ACBDFCADFB30}">
      <text>
        <r>
          <rPr>
            <b/>
            <sz val="9"/>
            <color indexed="81"/>
            <rFont val="Tahoma"/>
            <family val="2"/>
          </rPr>
          <t>Management Guidance:</t>
        </r>
        <r>
          <rPr>
            <sz val="9"/>
            <color indexed="81"/>
            <rFont val="Tahoma"/>
            <family val="2"/>
          </rPr>
          <t xml:space="preserve"> "We continue to expect our financial leverage to return to our long-term target of 3 times lease adjusted EBITDA toward the latter part of fiscal 2021" 
</t>
        </r>
        <r>
          <rPr>
            <b/>
            <sz val="9"/>
            <color indexed="81"/>
            <rFont val="Tahoma"/>
            <family val="2"/>
          </rPr>
          <t>Source:</t>
        </r>
        <r>
          <rPr>
            <sz val="9"/>
            <color indexed="81"/>
            <rFont val="Tahoma"/>
            <family val="2"/>
          </rPr>
          <t xml:space="preserve"> Biennial Investor Day (December-2020)
</t>
        </r>
        <r>
          <rPr>
            <b/>
            <sz val="9"/>
            <color indexed="81"/>
            <rFont val="Tahoma"/>
            <family val="2"/>
          </rPr>
          <t>NOTE:</t>
        </r>
        <r>
          <rPr>
            <sz val="9"/>
            <color indexed="81"/>
            <rFont val="Tahoma"/>
            <family val="2"/>
          </rPr>
          <t xml:space="preserve"> We would need the details of lease adjustment to get back to the leverage ratio </t>
        </r>
      </text>
    </comment>
    <comment ref="AG64" authorId="1" shapeId="0" xr:uid="{40C9874C-E88C-4E46-8072-525787971678}">
      <text>
        <r>
          <rPr>
            <sz val="9"/>
            <color indexed="81"/>
            <rFont val="Tahoma"/>
            <family val="2"/>
          </rPr>
          <t>Guidance: Management guided dividend payout rate to 50%, approximate dividend yield of 2%, share repurchase impact on EPS 1% (net of incremental interest), adjusted debt-to-EBITDA of 3x, capex of $2.5B to $3.0B, and total return to shareholders of ~$20B. 
Source: Investor Day 9/16/2022
Note: This base-case version of the model attempts to meet the midpoint of the implied range on EPS, and balance the impact of the above items. As a result the exact targets on the long-term goals above goals do not match the guidance exactly. As management discloses additional forecast details in fiscal 2023, these estimates should be adjusted.</t>
        </r>
      </text>
    </comment>
    <comment ref="AL64" authorId="1" shapeId="0" xr:uid="{5951CCCF-B91C-4E5B-8332-2D5F8D4664E0}">
      <text>
        <r>
          <rPr>
            <sz val="9"/>
            <color indexed="81"/>
            <rFont val="Tahoma"/>
            <family val="2"/>
          </rPr>
          <t>Guidance: Management guided dividend payout rate to 50%, approximate dividend yield of 2%, share repurchase impact on EPS 1% (net of incremental interest), adjusted debt-to-EBITDA of 3x, capex of $2.5B to $3.0B, and total return to shareholders of ~$20B. 
Source: Investor Day 9/16/2022
Note: This base-case version of the model attempts to meet the midpoint of the implied range on EPS, and balance the impact of the above items. As a result the exact targets on the long-term goals above goals do not match the guidance exactly. As management discloses additional forecast details in fiscal 2023, these estimates should be adjusted.</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Admin</author>
    <author>John Moschella</author>
  </authors>
  <commentList>
    <comment ref="B5" authorId="0" shapeId="0" xr:uid="{604B7110-AD83-44A2-9920-0DA6EACCC634}">
      <text>
        <r>
          <rPr>
            <b/>
            <sz val="9"/>
            <color indexed="81"/>
            <rFont val="Tahoma"/>
            <family val="2"/>
          </rPr>
          <t>Note: Use the company's 10-K not SEC web data</t>
        </r>
      </text>
    </comment>
    <comment ref="B17" authorId="0" shapeId="0" xr:uid="{F956FD5C-2E49-4463-B83F-D4FD7E2C060E}">
      <text>
        <r>
          <rPr>
            <b/>
            <sz val="9"/>
            <color indexed="81"/>
            <rFont val="Tahoma"/>
            <family val="2"/>
          </rPr>
          <t>Change sign</t>
        </r>
      </text>
    </comment>
    <comment ref="B21" authorId="0" shapeId="0" xr:uid="{533670F9-6CB8-436C-B41D-3298E4ECDC18}">
      <text>
        <r>
          <rPr>
            <b/>
            <sz val="9"/>
            <color indexed="81"/>
            <rFont val="Tahoma"/>
            <family val="2"/>
          </rPr>
          <t>Change sign</t>
        </r>
      </text>
    </comment>
    <comment ref="H25" authorId="0" shapeId="0" xr:uid="{BFBF630E-CA98-4913-B1CC-3133A2336518}">
      <text>
        <r>
          <rPr>
            <b/>
            <sz val="9"/>
            <color indexed="81"/>
            <rFont val="Tahoma"/>
            <family val="2"/>
          </rPr>
          <t xml:space="preserve">3Q2019 Earnings call (7/25/2019) guidance for FY2019:
</t>
        </r>
        <r>
          <rPr>
            <sz val="9"/>
            <color indexed="81"/>
            <rFont val="Tahoma"/>
            <family val="2"/>
          </rPr>
          <t>Capex ~ $2B</t>
        </r>
      </text>
    </comment>
    <comment ref="M25" authorId="0" shapeId="0" xr:uid="{B3CDFFBC-C4F2-4E36-B51D-CF0DB9707D54}">
      <text>
        <r>
          <rPr>
            <b/>
            <sz val="9"/>
            <color indexed="81"/>
            <rFont val="Tahoma"/>
            <family val="2"/>
          </rPr>
          <t xml:space="preserve">Management Guidance: </t>
        </r>
        <r>
          <rPr>
            <sz val="9"/>
            <color indexed="81"/>
            <rFont val="Tahoma"/>
            <family val="2"/>
          </rPr>
          <t xml:space="preserve">Full year capex ~ $1.5B.
</t>
        </r>
        <r>
          <rPr>
            <b/>
            <sz val="9"/>
            <color indexed="81"/>
            <rFont val="Tahoma"/>
            <family val="2"/>
          </rPr>
          <t xml:space="preserve">Source: </t>
        </r>
        <r>
          <rPr>
            <sz val="9"/>
            <color indexed="81"/>
            <rFont val="Tahoma"/>
            <family val="2"/>
          </rPr>
          <t>F3Q2020 Press Release, July 28, 2020</t>
        </r>
      </text>
    </comment>
    <comment ref="R25" authorId="1" shapeId="0" xr:uid="{76B3072F-0098-450B-B7E7-7B2B10D8A459}">
      <text>
        <r>
          <rPr>
            <b/>
            <sz val="9"/>
            <color indexed="81"/>
            <rFont val="Tahoma"/>
            <family val="2"/>
          </rPr>
          <t xml:space="preserve">Management Guidance: </t>
        </r>
        <r>
          <rPr>
            <sz val="9"/>
            <color indexed="81"/>
            <rFont val="Tahoma"/>
            <family val="2"/>
          </rPr>
          <t xml:space="preserve">  ~$1.7B
</t>
        </r>
        <r>
          <rPr>
            <b/>
            <sz val="9"/>
            <color indexed="81"/>
            <rFont val="Tahoma"/>
            <family val="2"/>
          </rPr>
          <t>Source:</t>
        </r>
        <r>
          <rPr>
            <sz val="9"/>
            <color indexed="81"/>
            <rFont val="Tahoma"/>
            <family val="2"/>
          </rPr>
          <t xml:space="preserve"> F3Q2021 Press Release</t>
        </r>
      </text>
    </comment>
    <comment ref="AB25" authorId="1" shapeId="0" xr:uid="{443D3D49-0305-4DBD-9EA3-8B9EC55B1218}">
      <text>
        <r>
          <rPr>
            <sz val="9"/>
            <color indexed="81"/>
            <rFont val="Tahoma"/>
            <family val="2"/>
          </rPr>
          <t>Guidance: Capital expenditures of $2.5B to $3.0B annually (fiscal 2023, 2024, and 2025).
Source: Investor Day 9/16/2022</t>
        </r>
      </text>
    </comment>
    <comment ref="AG25" authorId="1" shapeId="0" xr:uid="{EA1850AA-C76C-4BCE-8AEB-8A42ACC2780E}">
      <text>
        <r>
          <rPr>
            <sz val="9"/>
            <color indexed="81"/>
            <rFont val="Tahoma"/>
            <family val="2"/>
          </rPr>
          <t>Guidance: Capital expenditures of $2.5B to $3.0B annually (fiscal 2023, 2024, and 2025).
Source: Investor Day 9/16/2022</t>
        </r>
      </text>
    </comment>
    <comment ref="AL25" authorId="1" shapeId="0" xr:uid="{987315E7-9319-4582-BA55-3A21B565944B}">
      <text>
        <r>
          <rPr>
            <sz val="9"/>
            <color indexed="81"/>
            <rFont val="Tahoma"/>
            <family val="2"/>
          </rPr>
          <t>Guidance: Capital expenditures of $2.5B to $3.0B annually (fiscal 2023, 2024, and 2025).
Source: Investor Day 9/16/2022</t>
        </r>
      </text>
    </comment>
    <comment ref="B29" authorId="0" shapeId="0" xr:uid="{D4F5171C-F3D1-4ACD-8718-7AF61C260BD7}">
      <text>
        <r>
          <rPr>
            <b/>
            <sz val="9"/>
            <color indexed="81"/>
            <rFont val="Tahoma"/>
            <family val="2"/>
          </rPr>
          <t>Change sign for payments of debt</t>
        </r>
      </text>
    </comment>
    <comment ref="B42" authorId="0" shapeId="0" xr:uid="{B8E862F4-71E0-4277-8715-9053CFFC1DE8}">
      <text>
        <r>
          <rPr>
            <sz val="9"/>
            <color indexed="81"/>
            <rFont val="Tahoma"/>
            <family val="2"/>
          </rPr>
          <t>Cash Flow from Operations - Capital Expenditures + After tax Interest Expense</t>
        </r>
      </text>
    </comment>
    <comment ref="AL58" authorId="1" shapeId="0" xr:uid="{CF96B80B-FDA2-4FE0-B1DC-C5DB5DCFACFE}">
      <text>
        <r>
          <rPr>
            <sz val="9"/>
            <color indexed="81"/>
            <rFont val="Tahoma"/>
            <family val="2"/>
          </rPr>
          <t>Guidance: Management guided dividend payout rate to 50%, approximate dividend yield of 2%, share repurchase impact on EPS 1% (net of incremental interest), adjusted debt-to-EBITDA of 3x, capex of $2.5B to $3.0B, and total return to shareholders of ~$20B. 
Source: Investor Day 9/16/2022
Note: This base-case version of the model attempts to meet the midpoint of the implied range on EPS, and balance the impact of the above items. As a result the exact targets on the long-term goals above goals do not match the guidance exactly. As management discloses additional forecast details in fiscal 2023, these estimates should be adjusted.</t>
        </r>
      </text>
    </comment>
    <comment ref="AL61" authorId="1" shapeId="0" xr:uid="{E6E84FDA-D1EB-4753-8E86-9DB963E52E1E}">
      <text>
        <r>
          <rPr>
            <sz val="9"/>
            <color indexed="81"/>
            <rFont val="Tahoma"/>
            <family val="2"/>
          </rPr>
          <t>Guidance: Management guided dividend payout rate to 50%, approximate dividend yield of 2%, share repurchase impact on EPS 1% (net of incremental interest), adjusted debt-to-EBITDA of 3x, capex of $2.5B to $3.0B, and total return to shareholders of ~$20B. 
Source: Investor Day 9/16/2022
Note: This base-case version of the model attempts to meet the midpoint of the implied range on EPS, and balance the impact of the above items. As a result the exact targets on the long-term goals above goals do not match the guidance exactly. As management discloses additional forecast details in fiscal 2023, these estimates should be adjusted.</t>
        </r>
      </text>
    </comment>
    <comment ref="AL62" authorId="1" shapeId="0" xr:uid="{AB3A6CC6-2246-4E47-A9ED-294C4B175065}">
      <text>
        <r>
          <rPr>
            <b/>
            <sz val="9"/>
            <color indexed="81"/>
            <rFont val="Tahoma"/>
            <family val="2"/>
          </rPr>
          <t xml:space="preserve">Guidance: </t>
        </r>
        <r>
          <rPr>
            <sz val="9"/>
            <color indexed="81"/>
            <rFont val="Tahoma"/>
            <family val="2"/>
          </rPr>
          <t xml:space="preserve">Management guided annual EPS growth between 15% to 20%. </t>
        </r>
        <r>
          <rPr>
            <b/>
            <sz val="9"/>
            <color indexed="81"/>
            <rFont val="Tahoma"/>
            <family val="2"/>
          </rPr>
          <t xml:space="preserve">
Source: Investor Day 9/16/2022
</t>
        </r>
        <r>
          <rPr>
            <sz val="9"/>
            <color indexed="81"/>
            <rFont val="Tahoma"/>
            <family val="2"/>
          </rPr>
          <t>Assuming 2022 EPS of $2.88 CAGR of 15% to 20% equates to a 2025 EPS range of $4.38 to $4.98.</t>
        </r>
        <r>
          <rPr>
            <b/>
            <sz val="9"/>
            <color indexed="81"/>
            <rFont val="Tahoma"/>
            <family val="2"/>
          </rPr>
          <t xml:space="preserve">
</t>
        </r>
      </text>
    </comment>
  </commentList>
</comments>
</file>

<file path=xl/sharedStrings.xml><?xml version="1.0" encoding="utf-8"?>
<sst xmlns="http://schemas.openxmlformats.org/spreadsheetml/2006/main" count="3762" uniqueCount="347">
  <si>
    <t>Basic shares outstanding</t>
  </si>
  <si>
    <t xml:space="preserve">Diluted shares outstanding </t>
  </si>
  <si>
    <t>Effective tax rate</t>
  </si>
  <si>
    <t>(Dollars in millions, except per share data)</t>
  </si>
  <si>
    <t>Operating margin (GAAP)</t>
  </si>
  <si>
    <t>Provisions for income tax</t>
  </si>
  <si>
    <t xml:space="preserve">Basic EPS </t>
  </si>
  <si>
    <t xml:space="preserve">Diluted EPS </t>
  </si>
  <si>
    <t>Total operating expenses</t>
  </si>
  <si>
    <t>Ratio Analysis</t>
  </si>
  <si>
    <t>Total operating income/(loss)</t>
  </si>
  <si>
    <t>Income/(loss) before income tax</t>
  </si>
  <si>
    <t>Non-GAAP Adjustments</t>
  </si>
  <si>
    <t>Segment Data</t>
  </si>
  <si>
    <t>Reconciliation</t>
  </si>
  <si>
    <t>Dec-18</t>
  </si>
  <si>
    <t xml:space="preserve">   Net income attributable to common shareholders</t>
  </si>
  <si>
    <t>Revenue growth rate (GAAP, YoY)</t>
  </si>
  <si>
    <t>Starbucks Income Statement</t>
  </si>
  <si>
    <t>F1Q19</t>
  </si>
  <si>
    <t>Sept-22E</t>
  </si>
  <si>
    <t>Dec-22E</t>
  </si>
  <si>
    <t>Mar-23E</t>
  </si>
  <si>
    <t>June-23E</t>
  </si>
  <si>
    <t>Sept-23E</t>
  </si>
  <si>
    <t>F4Q22E</t>
  </si>
  <si>
    <t>FY 2022E</t>
  </si>
  <si>
    <t>F1Q23E</t>
  </si>
  <si>
    <t>F2Q23E</t>
  </si>
  <si>
    <t>F3Q23E</t>
  </si>
  <si>
    <t>F4Q23E</t>
  </si>
  <si>
    <t>FY 2023E</t>
  </si>
  <si>
    <t>Store operating expenses</t>
  </si>
  <si>
    <t>Other operating expenses</t>
  </si>
  <si>
    <t>Depreciation and amortization expenses</t>
  </si>
  <si>
    <t>General and administrative expenses</t>
  </si>
  <si>
    <t>Income from equity investees</t>
  </si>
  <si>
    <t>Interest income and other</t>
  </si>
  <si>
    <t>Interest expense</t>
  </si>
  <si>
    <t>Net income including noncontrolling interest</t>
  </si>
  <si>
    <t xml:space="preserve">Net earnings attributable to noncontrolling interest </t>
  </si>
  <si>
    <t>Cash dividend</t>
  </si>
  <si>
    <t>Restructuring and impairments</t>
  </si>
  <si>
    <t>Comp store sales - Ticket</t>
  </si>
  <si>
    <t>Comp store sales - Transaction</t>
  </si>
  <si>
    <t>Comp store sales - Total</t>
  </si>
  <si>
    <t xml:space="preserve">Net new company operated stores added </t>
  </si>
  <si>
    <t xml:space="preserve">Net new licensed  stores added </t>
  </si>
  <si>
    <t>Average revenue per licensed store</t>
  </si>
  <si>
    <t>Average licensed stores in the period</t>
  </si>
  <si>
    <t>Other revenue YoY growth rate</t>
  </si>
  <si>
    <t>Channel Development (GAAP)</t>
  </si>
  <si>
    <t>Channel Dev Total operating expenses</t>
  </si>
  <si>
    <t>Channel Dev Total operating income</t>
  </si>
  <si>
    <t>Channel Dev Total operating margin (%)</t>
  </si>
  <si>
    <t>Corporate &amp; Other  (GAAP)</t>
  </si>
  <si>
    <t>Corp &amp; Other Total operating expenses</t>
  </si>
  <si>
    <t>Corp &amp; Other Total operating income</t>
  </si>
  <si>
    <t>Revenue YoY growth rate</t>
  </si>
  <si>
    <t>Company-operated revenue</t>
  </si>
  <si>
    <t>Licensed store revenue</t>
  </si>
  <si>
    <t>Other revenue</t>
  </si>
  <si>
    <t>Operating Income</t>
  </si>
  <si>
    <t>Gain on acquisition of JV/disposition of business</t>
  </si>
  <si>
    <t>Nestle Transaction (Operating expenses)</t>
  </si>
  <si>
    <t>Restructuring and impairments (Operating expenses)</t>
  </si>
  <si>
    <t>Stock Awards (Operating expenses)</t>
  </si>
  <si>
    <t>Total impact on operating expenses</t>
  </si>
  <si>
    <t>Total impact on operating income</t>
  </si>
  <si>
    <t>Gain/(loss) on acquisitions and divestitures (Net income)</t>
  </si>
  <si>
    <t>Non-GAAP operating income adjustments</t>
  </si>
  <si>
    <t xml:space="preserve">Non-GAAP operating income </t>
  </si>
  <si>
    <t>Non-GAAP net income adjustments</t>
  </si>
  <si>
    <t xml:space="preserve">Non-GAAP net income </t>
  </si>
  <si>
    <t>Non-GAAP diluted EPS</t>
  </si>
  <si>
    <t>Income tax impact of adjustments and other (Net income)</t>
  </si>
  <si>
    <t>Income tax impact and other as % of operating income adj</t>
  </si>
  <si>
    <t>Operating margin (Non-GAAP)</t>
  </si>
  <si>
    <t>Interest &amp; other income as a % of average  investments and cash</t>
  </si>
  <si>
    <t>Interest expense as a % of average debt balances</t>
  </si>
  <si>
    <t>All Other  (Operating expense)</t>
  </si>
  <si>
    <t>F2Q19</t>
  </si>
  <si>
    <t>Mar-19</t>
  </si>
  <si>
    <t>General and administrative expenses (GAAP)</t>
  </si>
  <si>
    <t>June-19</t>
  </si>
  <si>
    <t>F3Q19</t>
  </si>
  <si>
    <t>Dec-23E</t>
  </si>
  <si>
    <t>Mar-24E</t>
  </si>
  <si>
    <t>June-24E</t>
  </si>
  <si>
    <t>Sept-24E</t>
  </si>
  <si>
    <t>F1Q24E</t>
  </si>
  <si>
    <t>F2Q24E</t>
  </si>
  <si>
    <t>F3Q24E</t>
  </si>
  <si>
    <t>F4Q24E</t>
  </si>
  <si>
    <t>FY 2024E</t>
  </si>
  <si>
    <t>F4Q19</t>
  </si>
  <si>
    <t>FY 2019</t>
  </si>
  <si>
    <t>F1Q20</t>
  </si>
  <si>
    <t>F2Q20</t>
  </si>
  <si>
    <t>F3Q20</t>
  </si>
  <si>
    <t>Product and distribution costs</t>
  </si>
  <si>
    <t>Revenue - Company-operated stores</t>
  </si>
  <si>
    <t>Revenue - Licensed stores revenue</t>
  </si>
  <si>
    <t>Revenue - Product, Services, and Other</t>
  </si>
  <si>
    <t>Total revenues</t>
  </si>
  <si>
    <t>Dec-24E</t>
  </si>
  <si>
    <t>Mar-25E</t>
  </si>
  <si>
    <t>June-25E</t>
  </si>
  <si>
    <t>Sept-25E</t>
  </si>
  <si>
    <t>F1Q25E</t>
  </si>
  <si>
    <t>F2Q25E</t>
  </si>
  <si>
    <t>F3Q25E</t>
  </si>
  <si>
    <t>F4Q25E</t>
  </si>
  <si>
    <t>FY 2025E</t>
  </si>
  <si>
    <t>International Segment (GAAP)</t>
  </si>
  <si>
    <t>International company-operated stores</t>
  </si>
  <si>
    <t>Int'l Revenue: Company-operated stores ($M)</t>
  </si>
  <si>
    <t>International licensed stores</t>
  </si>
  <si>
    <t>Int'l Revenue: licensed stores ($M)</t>
  </si>
  <si>
    <t>Int'l Revenue: Other</t>
  </si>
  <si>
    <t>Int'l total stores</t>
  </si>
  <si>
    <t>Int'l total net store additions</t>
  </si>
  <si>
    <t>Int'l total net revenues ($M)</t>
  </si>
  <si>
    <t>Int'l Total operating expenses</t>
  </si>
  <si>
    <t>Int'l Total operating income</t>
  </si>
  <si>
    <t>Int'l Total operating margin (%)</t>
  </si>
  <si>
    <t>Channel Development Revenue</t>
  </si>
  <si>
    <t>Net revenues ($M)</t>
  </si>
  <si>
    <t>Net revenue YoY growth rate</t>
  </si>
  <si>
    <t>International transaction and integration related costs</t>
  </si>
  <si>
    <t>Share Count Analysis</t>
  </si>
  <si>
    <t>Sept '18 ASR - Share repurchase assumptions: average price</t>
  </si>
  <si>
    <t>Sept '18 ASR - Share repurchase: amount in the period ($M)</t>
  </si>
  <si>
    <t>Sept '18 ASR -Shares repurchased (in millions)</t>
  </si>
  <si>
    <t>March '19 ASR - Share repurchase assumptions: average price</t>
  </si>
  <si>
    <t>March '19 ASR - Share repurchase: amount in the period ($M)</t>
  </si>
  <si>
    <t>March '19 ASR -Shares repurchased (in millions)</t>
  </si>
  <si>
    <t>Share repurchase assumptions: average price (exASRs)</t>
  </si>
  <si>
    <t>Share repurchase: amount in the period ($M, exASRs)</t>
  </si>
  <si>
    <t>Non-GAAP EPS Growth (YoY)</t>
  </si>
  <si>
    <t>Cash Flow From Operations Growth (YoY)</t>
  </si>
  <si>
    <t>Sept-20</t>
  </si>
  <si>
    <t>F4Q20</t>
  </si>
  <si>
    <t>FY 2020</t>
  </si>
  <si>
    <t>June-20</t>
  </si>
  <si>
    <t>Mar-20</t>
  </si>
  <si>
    <t>Dec-19</t>
  </si>
  <si>
    <t>Sept-19</t>
  </si>
  <si>
    <t>Dec-20</t>
  </si>
  <si>
    <t>F1Q21</t>
  </si>
  <si>
    <t xml:space="preserve"> Store opex (as % of comp-op store revenue)</t>
  </si>
  <si>
    <t>Product/dist costs (as % of total segment revenue)</t>
  </si>
  <si>
    <t xml:space="preserve"> Other opex (as % of total segment revenue)</t>
  </si>
  <si>
    <t>G&amp;A expense (as % of total segment revenue)</t>
  </si>
  <si>
    <t>Other opex (as % of comp-op store revenue)</t>
  </si>
  <si>
    <t>Impact of extra week  (Operating income)</t>
  </si>
  <si>
    <t>Mar-21</t>
  </si>
  <si>
    <t>F2Q21</t>
  </si>
  <si>
    <t>June-21</t>
  </si>
  <si>
    <t>F3Q21</t>
  </si>
  <si>
    <t>Dec-25E</t>
  </si>
  <si>
    <t>Mar-26E</t>
  </si>
  <si>
    <t>June-26E</t>
  </si>
  <si>
    <t>Sept-26E</t>
  </si>
  <si>
    <t>F1Q26E</t>
  </si>
  <si>
    <t>F2Q26E</t>
  </si>
  <si>
    <t>F3Q26E</t>
  </si>
  <si>
    <t>F4Q26E</t>
  </si>
  <si>
    <t>FY 2026E</t>
  </si>
  <si>
    <t>Global Store Growth</t>
  </si>
  <si>
    <t>Approximate Dividend Payout Ratio</t>
  </si>
  <si>
    <t>Sept-21</t>
  </si>
  <si>
    <t>F4Q21</t>
  </si>
  <si>
    <t>FY 2021</t>
  </si>
  <si>
    <t>North America (GAAP)</t>
  </si>
  <si>
    <t>NA company-operated stores</t>
  </si>
  <si>
    <t>NA Revenue: Company-operated stores ($M)</t>
  </si>
  <si>
    <t>NA licensed stores</t>
  </si>
  <si>
    <t>NA Revenue: licensed stores ($M)</t>
  </si>
  <si>
    <t>NA Revenue: Other</t>
  </si>
  <si>
    <t>NA total stores</t>
  </si>
  <si>
    <t>NA total net store additions</t>
  </si>
  <si>
    <t>NA total net revenues ($M)</t>
  </si>
  <si>
    <t>NA total operating expenses</t>
  </si>
  <si>
    <t>NA total operating income</t>
  </si>
  <si>
    <t>NA total operating margin (%)</t>
  </si>
  <si>
    <t>GAAP EPS Growth (YoY)</t>
  </si>
  <si>
    <t>Jan-22</t>
  </si>
  <si>
    <t>F1Q22</t>
  </si>
  <si>
    <t>F2Q22</t>
  </si>
  <si>
    <t>Mar-22</t>
  </si>
  <si>
    <t>Dec-26E</t>
  </si>
  <si>
    <t>Mar-27E</t>
  </si>
  <si>
    <t>June-27E</t>
  </si>
  <si>
    <t>Sept-27E</t>
  </si>
  <si>
    <t>F1Q27E</t>
  </si>
  <si>
    <t>F2Q27E</t>
  </si>
  <si>
    <t>F3Q27E</t>
  </si>
  <si>
    <t>F4Q27E</t>
  </si>
  <si>
    <t>FY 2027E</t>
  </si>
  <si>
    <t>Revenue growth rate (YoY)</t>
  </si>
  <si>
    <t>Average company operated stores in the period</t>
  </si>
  <si>
    <t>Average revenue per average licensed store</t>
  </si>
  <si>
    <t>June-22</t>
  </si>
  <si>
    <t>F3Q22</t>
  </si>
  <si>
    <t>Average revenue per average company operated store</t>
  </si>
  <si>
    <t xml:space="preserve">Average revenue per average company operated store </t>
  </si>
  <si>
    <t>Shares repurchased: Share count (in millions of shares, exASRs)</t>
  </si>
  <si>
    <t>Change in basic shares  (excluding repurchases)</t>
  </si>
  <si>
    <t>Change in diluted shares  (excluding repurchases)</t>
  </si>
  <si>
    <t>Note: Blue cells = primary inputs. Purple cells = guidance.</t>
  </si>
  <si>
    <t>Starbucks Balance Sheet</t>
  </si>
  <si>
    <t>Assets</t>
  </si>
  <si>
    <t>Cash and equivalents</t>
  </si>
  <si>
    <t>Short-term investments</t>
  </si>
  <si>
    <t>Accounts receivable, net</t>
  </si>
  <si>
    <t>Inventories</t>
  </si>
  <si>
    <t>Prepaid expenses and other current assets</t>
  </si>
  <si>
    <t>Total Current Assets</t>
  </si>
  <si>
    <t>Long-term investments</t>
  </si>
  <si>
    <t>Equity investments</t>
  </si>
  <si>
    <t xml:space="preserve">Property, plant and equipment, net </t>
  </si>
  <si>
    <t>Operating lease, right-of-use asset</t>
  </si>
  <si>
    <t>Deferred income taxes, net</t>
  </si>
  <si>
    <t>Other long-term assets</t>
  </si>
  <si>
    <t>Other intangible assets, net</t>
  </si>
  <si>
    <t>Goodwill</t>
  </si>
  <si>
    <t>Total Assets</t>
  </si>
  <si>
    <t>Liabilities</t>
  </si>
  <si>
    <t>Accounts payable</t>
  </si>
  <si>
    <t>Accrued liabilities</t>
  </si>
  <si>
    <t>Accrued payroll and benefits (current)</t>
  </si>
  <si>
    <t>Income taxes payable (current)</t>
  </si>
  <si>
    <t xml:space="preserve">Current portion of operating lease liability </t>
  </si>
  <si>
    <t>Stored value card liability and deferred revenue</t>
  </si>
  <si>
    <t>Current portion of debt</t>
  </si>
  <si>
    <t>Other current liabilities</t>
  </si>
  <si>
    <t>Total Current liabilities</t>
  </si>
  <si>
    <t>Long-term debt</t>
  </si>
  <si>
    <t>Operating lease liability</t>
  </si>
  <si>
    <t>Deferred revenue</t>
  </si>
  <si>
    <t>Other long-term liabilities</t>
  </si>
  <si>
    <t>Total liabilities</t>
  </si>
  <si>
    <t>Equity</t>
  </si>
  <si>
    <t>Common stock and additional paid in capital</t>
  </si>
  <si>
    <t xml:space="preserve">Retained earnings </t>
  </si>
  <si>
    <t>Accumulated other comprehensive loss</t>
  </si>
  <si>
    <t>Noncontrolling interest</t>
  </si>
  <si>
    <t>Total shareholders' equity</t>
  </si>
  <si>
    <t>Total liabilities and equity</t>
  </si>
  <si>
    <t>Balance Sheet Ratios &amp; Assumptions</t>
  </si>
  <si>
    <t>Day Count (number of days in the quarter)</t>
  </si>
  <si>
    <t>Receivables turnover</t>
  </si>
  <si>
    <t>Days sales outstanding</t>
  </si>
  <si>
    <t>Inventory turnover</t>
  </si>
  <si>
    <t>Payables turnover</t>
  </si>
  <si>
    <t>Number of days of payables</t>
  </si>
  <si>
    <t>Total investments as a % of assets</t>
  </si>
  <si>
    <t>Short-term investments as a % of total investments</t>
  </si>
  <si>
    <t>Deferred inc taxes as % of def revenue &amp; stored value liability</t>
  </si>
  <si>
    <t>Depreciation &amp; amortization-to-average P&amp;E</t>
  </si>
  <si>
    <t>Debt Assumptions</t>
  </si>
  <si>
    <t>Debt maturities</t>
  </si>
  <si>
    <t>Debt moved from Long to Current</t>
  </si>
  <si>
    <t>Debt issuance</t>
  </si>
  <si>
    <t>Debt-to-equity ratio</t>
  </si>
  <si>
    <t>Short-term debt to total debt</t>
  </si>
  <si>
    <t>Starbucks Cash Flow Statement</t>
  </si>
  <si>
    <t>Cash flows from operating activities</t>
  </si>
  <si>
    <t>Net income - including noncontrolling interests</t>
  </si>
  <si>
    <t xml:space="preserve">Depreciation and amortization </t>
  </si>
  <si>
    <t>Income earned from equity method investees</t>
  </si>
  <si>
    <t>Distributions received from equity method investees</t>
  </si>
  <si>
    <t>Gain resulting from acquisitions/sales</t>
  </si>
  <si>
    <t>Stock-based compensation expense</t>
  </si>
  <si>
    <t>Other Noncash Income/(Expense)</t>
  </si>
  <si>
    <t>Changes in operating assets and liabilities, net of the effects</t>
  </si>
  <si>
    <t>Accounts receivable</t>
  </si>
  <si>
    <t>Increase/(Decrease) in prepaid expenses, other current</t>
  </si>
  <si>
    <t>Increase/(Decrease) in Income Taxes Payable</t>
  </si>
  <si>
    <t>Other operating assets and liabilities</t>
  </si>
  <si>
    <t>Net cash provided by operating activities</t>
  </si>
  <si>
    <t>Cash flows from investing activities</t>
  </si>
  <si>
    <t>Sale/Maturities/(Purchases) of investments</t>
  </si>
  <si>
    <t>Additions to PP&amp;E</t>
  </si>
  <si>
    <t>Other investing activities</t>
  </si>
  <si>
    <t>Net cash provided by (used for) investing</t>
  </si>
  <si>
    <t>Cash flows from financing activities</t>
  </si>
  <si>
    <t xml:space="preserve">Debt/commercial paper (payments) </t>
  </si>
  <si>
    <t>Proceeds from issuance of commercial paper</t>
  </si>
  <si>
    <t>Proceeds from issuance of common stock</t>
  </si>
  <si>
    <t>Cash dividends paid</t>
  </si>
  <si>
    <t>Repurchase of common stock</t>
  </si>
  <si>
    <t>Minimum tax withholdings on share-based awards</t>
  </si>
  <si>
    <t>Other financing activities</t>
  </si>
  <si>
    <t>Net cash provided by (used for) financing</t>
  </si>
  <si>
    <t>Effect of exchange rate changes &amp; restricted cash</t>
  </si>
  <si>
    <t>Net increase (decrease) in cash and equivalents</t>
  </si>
  <si>
    <t>Cash and equivalents at beginning of period</t>
  </si>
  <si>
    <t>Cash and equivalents at end of period (BS)</t>
  </si>
  <si>
    <t>Free Cash Flow to Firm (FCFF)</t>
  </si>
  <si>
    <t>DCF Period (approximate number of years)</t>
  </si>
  <si>
    <t>Discounted FCFF</t>
  </si>
  <si>
    <t xml:space="preserve">Net Cash and investments per share </t>
  </si>
  <si>
    <t>Cash &amp; marketable securities (exEquity method investments)</t>
  </si>
  <si>
    <t>Total Debt</t>
  </si>
  <si>
    <t xml:space="preserve">Adjusted net cash  per share </t>
  </si>
  <si>
    <t>Cash Flow Ratios &amp; Assumptions</t>
  </si>
  <si>
    <t>Cash Flow Statement Ratios</t>
  </si>
  <si>
    <t>Share-based compensation to revenue</t>
  </si>
  <si>
    <t xml:space="preserve">Distributions from equity investments as a % of income </t>
  </si>
  <si>
    <t>Net Cash from Operations growth rate (YoY)</t>
  </si>
  <si>
    <t>Capex to revenue</t>
  </si>
  <si>
    <t>Return to Shareholders (Dividends and Repurchases)</t>
  </si>
  <si>
    <t>Return to Shareholders (cumulative 2023 to 2025)</t>
  </si>
  <si>
    <t>NA Change in Product/dist costs (as % of total segment revenue)</t>
  </si>
  <si>
    <t>NA Change in Store opex (as % of comp-op store revenue)</t>
  </si>
  <si>
    <t>NA Change in Other opex (as % of total segment revenue)</t>
  </si>
  <si>
    <t>NA Change in G&amp;A expense (as % of total segment revenue)</t>
  </si>
  <si>
    <t>Intl Change in Product/dist costs (as % of total segment revenue)</t>
  </si>
  <si>
    <t>Intl Change in Store opex (as % of comp-op store revenue)</t>
  </si>
  <si>
    <t>Intl Change in Other opex (as % of total segment revenue)</t>
  </si>
  <si>
    <t>Intl Change in G&amp;A expense (as % of total segment revenue)</t>
  </si>
  <si>
    <t>Channel Dev Change in Product/dist costs (as % of revenue)</t>
  </si>
  <si>
    <t>Channel Dev Change in Other opex (as % of revenue)</t>
  </si>
  <si>
    <t>Channel Dev Change in G&amp;A expense (as % of  revenue)</t>
  </si>
  <si>
    <t>EBITDA (Non-GAAP)</t>
  </si>
  <si>
    <t>Debt</t>
  </si>
  <si>
    <t>Total lease costs (10-K)</t>
  </si>
  <si>
    <t>Debt-to-EBITDA (Non-GAAP)</t>
  </si>
  <si>
    <t>CAGR in Non-GAAP EPS (2022 to 2025) including repurchases</t>
  </si>
  <si>
    <t>CAGR in Non-GAAP EPS (2022 to 2025) before repurchases</t>
  </si>
  <si>
    <t>Impact from repurchases (net of incremental interest expense)</t>
  </si>
  <si>
    <t>Low-end of Non-GAAP EPS guidance (assuming 15% CAGR off $2.88 in 2022)</t>
  </si>
  <si>
    <t>High-end of Non-GAAP EPS guidance (assuming 20% CAGR off $2.88 in 2022)</t>
  </si>
  <si>
    <t>Non-GAAP EPS CAGR (From 2022 to 2025)</t>
  </si>
  <si>
    <t>Multiple Valuation</t>
  </si>
  <si>
    <t>Adjustments</t>
  </si>
  <si>
    <t>Implied 12-month target value</t>
  </si>
  <si>
    <t>PE 3-month average (NTM)</t>
  </si>
  <si>
    <t>PE 3-month high (NTM)</t>
  </si>
  <si>
    <t>PE 3-month low (NTM)</t>
  </si>
  <si>
    <t>Long-Term Historic Range</t>
  </si>
  <si>
    <t>PE selected for valuation (NTM)</t>
  </si>
  <si>
    <t>Global Store Growth CAGR (2022 to 2025)</t>
  </si>
  <si>
    <t>Global Revenue Growth CAGR (2022 to 2025)</t>
  </si>
  <si>
    <t>18x to 37x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</si>
</sst>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1">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_(* #,##0.0000_);_(* \(#,##0.0000\);_(* &quot;-&quot;??_);_(@_)"/>
    <numFmt numFmtId="226" formatCode="0.000%"/>
    <numFmt numFmtId="227" formatCode="0.0\x"/>
    <numFmt numFmtId="228" formatCode="&quot;$&quot;#,##0"/>
    <numFmt numFmtId="229" formatCode="0\x"/>
  </numFmts>
  <fonts count="7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b/>
      <u val="singleAccounting"/>
      <sz val="11"/>
      <name val="Calibri"/>
      <family val="2"/>
      <scheme val="minor"/>
    </font>
    <font>
      <b/>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u/>
      <sz val="11"/>
      <name val="Calibri"/>
      <family val="2"/>
      <scheme val="minor"/>
    </font>
    <font>
      <i/>
      <sz val="11"/>
      <color theme="3"/>
      <name val="Calibri"/>
      <family val="2"/>
      <scheme val="minor"/>
    </font>
    <font>
      <b/>
      <i/>
      <sz val="11"/>
      <color theme="3"/>
      <name val="Calibri"/>
      <family val="2"/>
      <scheme val="minor"/>
    </font>
    <font>
      <i/>
      <sz val="9"/>
      <color theme="3"/>
      <name val="Calibri"/>
      <family val="2"/>
      <scheme val="minor"/>
    </font>
    <font>
      <b/>
      <i/>
      <u/>
      <sz val="12"/>
      <color theme="3"/>
      <name val="Calibri"/>
      <family val="2"/>
      <scheme val="minor"/>
    </font>
    <font>
      <i/>
      <u val="singleAccounting"/>
      <sz val="11"/>
      <color theme="3"/>
      <name val="Calibri"/>
      <family val="2"/>
      <scheme val="minor"/>
    </font>
    <font>
      <b/>
      <i/>
      <u val="singleAccounting"/>
      <sz val="11"/>
      <color theme="3"/>
      <name val="Calibri"/>
      <family val="2"/>
      <scheme val="minor"/>
    </font>
    <font>
      <sz val="11"/>
      <color theme="0"/>
      <name val="Calibri"/>
      <family val="2"/>
      <scheme val="minor"/>
    </font>
    <font>
      <u/>
      <sz val="9"/>
      <color indexed="81"/>
      <name val="Tahoma"/>
      <family val="2"/>
    </font>
    <font>
      <i/>
      <sz val="11"/>
      <name val="Calibri"/>
      <family val="2"/>
      <scheme val="minor"/>
    </font>
    <font>
      <i/>
      <sz val="11"/>
      <color rgb="FFFF0000"/>
      <name val="Calibri"/>
      <family val="2"/>
      <scheme val="minor"/>
    </font>
    <font>
      <i/>
      <sz val="11"/>
      <color theme="4"/>
      <name val="Calibri"/>
      <family val="2"/>
      <scheme val="minor"/>
    </font>
    <font>
      <b/>
      <u/>
      <sz val="11"/>
      <color rgb="FFFF0000"/>
      <name val="Calibri"/>
      <family val="2"/>
      <scheme val="minor"/>
    </font>
    <font>
      <i/>
      <u/>
      <sz val="11"/>
      <name val="Calibri"/>
      <family val="2"/>
      <scheme val="minor"/>
    </font>
    <font>
      <b/>
      <u val="singleAccounting"/>
      <sz val="11"/>
      <color rgb="FFFF0000"/>
      <name val="Calibri"/>
      <family val="2"/>
      <scheme val="minor"/>
    </font>
  </fonts>
  <fills count="13">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4" tint="0.39997558519241921"/>
        <bgColor indexed="64"/>
      </patternFill>
    </fill>
    <fill>
      <patternFill patternType="solid">
        <fgColor theme="4" tint="0.39994506668294322"/>
        <bgColor indexed="64"/>
      </patternFill>
    </fill>
    <fill>
      <patternFill patternType="solid">
        <fgColor theme="0" tint="-4.9989318521683403E-2"/>
        <bgColor indexed="64"/>
      </patternFill>
    </fill>
    <fill>
      <patternFill patternType="solid">
        <fgColor theme="7" tint="0.39997558519241921"/>
        <bgColor indexed="64"/>
      </patternFill>
    </fill>
  </fills>
  <borders count="35">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diagonal/>
    </border>
    <border>
      <left/>
      <right style="thin">
        <color auto="1"/>
      </right>
      <top style="hair">
        <color auto="1"/>
      </top>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bottom style="medium">
        <color auto="1"/>
      </bottom>
      <diagonal/>
    </border>
  </borders>
  <cellStyleXfs count="33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9" fillId="0" borderId="0" applyNumberFormat="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10" fillId="0" borderId="15" applyNumberFormat="0" applyFill="0" applyAlignment="0" applyProtection="0"/>
    <xf numFmtId="0" fontId="11" fillId="0" borderId="16" applyNumberFormat="0" applyFill="0" applyProtection="0">
      <alignment horizontal="center"/>
    </xf>
    <xf numFmtId="0" fontId="11" fillId="0" borderId="0" applyNumberFormat="0" applyFill="0" applyBorder="0" applyProtection="0">
      <alignment horizontal="left"/>
    </xf>
    <xf numFmtId="0" fontId="12" fillId="0" borderId="0" applyNumberFormat="0" applyFill="0" applyBorder="0" applyProtection="0">
      <alignment horizontal="centerContinuous"/>
    </xf>
    <xf numFmtId="0" fontId="13" fillId="0" borderId="0" applyNumberFormat="0" applyFill="0" applyBorder="0" applyAlignment="0" applyProtection="0"/>
    <xf numFmtId="0" fontId="14" fillId="0" borderId="0"/>
    <xf numFmtId="176" fontId="15" fillId="0" borderId="0">
      <alignment horizontal="center"/>
    </xf>
    <xf numFmtId="37" fontId="16" fillId="0" borderId="0"/>
    <xf numFmtId="37" fontId="17" fillId="0" borderId="0"/>
    <xf numFmtId="177" fontId="18"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8"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8"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8"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8" fillId="0" borderId="2" applyAlignment="0" applyProtection="0"/>
    <xf numFmtId="177" fontId="18" fillId="0" borderId="2" applyAlignment="0" applyProtection="0"/>
    <xf numFmtId="177" fontId="18" fillId="0" borderId="2" applyAlignment="0" applyProtection="0"/>
    <xf numFmtId="177" fontId="18" fillId="0" borderId="2" applyAlignment="0" applyProtection="0"/>
    <xf numFmtId="177" fontId="1" fillId="0" borderId="0" applyAlignment="0" applyProtection="0"/>
    <xf numFmtId="178" fontId="19"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19"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0" fillId="0" borderId="0" applyFill="0" applyBorder="0" applyProtection="0">
      <alignment horizontal="center"/>
      <protection locked="0"/>
    </xf>
    <xf numFmtId="0" fontId="21"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1" fillId="0" borderId="7"/>
    <xf numFmtId="192" fontId="1" fillId="0" borderId="0"/>
    <xf numFmtId="0" fontId="14"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2" fillId="0" borderId="0" applyFont="0" applyFill="0" applyBorder="0" applyAlignment="0" applyProtection="0"/>
    <xf numFmtId="4" fontId="1" fillId="0" borderId="0" applyFont="0" applyFill="0" applyBorder="0" applyAlignment="0" applyProtection="0"/>
    <xf numFmtId="4" fontId="14"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3" fillId="0" borderId="0" applyNumberFormat="0" applyFill="0" applyBorder="0" applyAlignment="0" applyProtection="0"/>
    <xf numFmtId="0" fontId="24" fillId="0" borderId="0" applyFill="0" applyBorder="0" applyAlignment="0" applyProtection="0">
      <protection locked="0"/>
    </xf>
    <xf numFmtId="193" fontId="3" fillId="0" borderId="0">
      <alignment horizontal="center"/>
    </xf>
    <xf numFmtId="194" fontId="25" fillId="0" borderId="0" applyFill="0" applyBorder="0" applyProtection="0"/>
    <xf numFmtId="195" fontId="26" fillId="0" borderId="0" applyFont="0" applyFill="0" applyBorder="0" applyAlignment="0" applyProtection="0"/>
    <xf numFmtId="196" fontId="27" fillId="0" borderId="17">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3" fillId="0" borderId="0" applyNumberFormat="0" applyFill="0" applyBorder="0" applyAlignment="0" applyProtection="0"/>
    <xf numFmtId="1" fontId="15" fillId="0" borderId="0"/>
    <xf numFmtId="14" fontId="28" fillId="0" borderId="0">
      <alignment horizontal="center"/>
    </xf>
    <xf numFmtId="14" fontId="19" fillId="0" borderId="0" applyFill="0" applyBorder="0" applyAlignment="0"/>
    <xf numFmtId="15" fontId="29" fillId="5" borderId="0" applyNumberFormat="0" applyFont="0" applyFill="0" applyBorder="0" applyAlignment="0">
      <alignment horizontal="center" wrapText="1"/>
    </xf>
    <xf numFmtId="0" fontId="19" fillId="0" borderId="14" applyNumberFormat="0" applyFill="0" applyBorder="0" applyAlignment="0" applyProtection="0"/>
    <xf numFmtId="197" fontId="21" fillId="0" borderId="0" applyFont="0" applyFill="0" applyBorder="0" applyAlignment="0" applyProtection="0"/>
    <xf numFmtId="198" fontId="26" fillId="0" borderId="0" applyFont="0" applyFill="0" applyBorder="0" applyAlignment="0" applyProtection="0"/>
    <xf numFmtId="178" fontId="30"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7" fillId="0" borderId="17">
      <protection hidden="1"/>
    </xf>
    <xf numFmtId="199" fontId="3" fillId="0" borderId="0" applyFont="0" applyFill="0" applyBorder="0" applyAlignment="0" applyProtection="0"/>
    <xf numFmtId="38" fontId="31" fillId="5" borderId="0" applyNumberFormat="0" applyBorder="0" applyAlignment="0" applyProtection="0"/>
    <xf numFmtId="0" fontId="32" fillId="0" borderId="18" applyNumberFormat="0" applyAlignment="0" applyProtection="0">
      <alignment horizontal="left" vertical="center"/>
    </xf>
    <xf numFmtId="0" fontId="32"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2"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2"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2"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2" fillId="0" borderId="9">
      <alignment horizontal="left" vertical="center"/>
    </xf>
    <xf numFmtId="0" fontId="32" fillId="0" borderId="9">
      <alignment horizontal="left" vertical="center"/>
    </xf>
    <xf numFmtId="0" fontId="32" fillId="0" borderId="9">
      <alignment horizontal="left" vertical="center"/>
    </xf>
    <xf numFmtId="0" fontId="32" fillId="0" borderId="9">
      <alignment horizontal="left" vertical="center"/>
    </xf>
    <xf numFmtId="0" fontId="1" fillId="0" borderId="0">
      <alignment horizontal="left" vertical="center"/>
    </xf>
    <xf numFmtId="14" fontId="33" fillId="6" borderId="17">
      <alignment horizontal="center" vertical="center"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0" fillId="0" borderId="0" applyFill="0" applyAlignment="0" applyProtection="0">
      <protection locked="0"/>
    </xf>
    <xf numFmtId="0" fontId="20" fillId="0" borderId="7" applyFill="0" applyAlignment="0" applyProtection="0">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10" fontId="31" fillId="7" borderId="14" applyNumberFormat="0" applyBorder="0" applyAlignment="0" applyProtection="0"/>
    <xf numFmtId="178" fontId="3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8" fillId="0" borderId="0" applyFont="0" applyFill="0" applyBorder="0" applyAlignment="0" applyProtection="0"/>
    <xf numFmtId="40" fontId="38"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8" fillId="0" borderId="0" applyFont="0" applyFill="0" applyBorder="0" applyAlignment="0" applyProtection="0"/>
    <xf numFmtId="8" fontId="38" fillId="0" borderId="0" applyFont="0" applyFill="0" applyBorder="0" applyAlignment="0" applyProtection="0"/>
    <xf numFmtId="204" fontId="15" fillId="0" borderId="7"/>
    <xf numFmtId="37" fontId="39" fillId="0" borderId="0"/>
    <xf numFmtId="205" fontId="21" fillId="0" borderId="0"/>
    <xf numFmtId="205" fontId="1" fillId="0" borderId="0"/>
    <xf numFmtId="206" fontId="3" fillId="0" borderId="0"/>
    <xf numFmtId="207" fontId="3" fillId="0" borderId="0"/>
    <xf numFmtId="0" fontId="40" fillId="0" borderId="0"/>
    <xf numFmtId="0" fontId="40" fillId="0" borderId="0"/>
    <xf numFmtId="0" fontId="40" fillId="0" borderId="0"/>
    <xf numFmtId="0" fontId="40"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1" fillId="0" borderId="0"/>
    <xf numFmtId="0" fontId="3" fillId="0" borderId="0"/>
    <xf numFmtId="0" fontId="3" fillId="0" borderId="0"/>
    <xf numFmtId="37" fontId="42" fillId="0" borderId="0"/>
    <xf numFmtId="0" fontId="1" fillId="0" borderId="0"/>
    <xf numFmtId="0" fontId="1" fillId="0" borderId="0"/>
    <xf numFmtId="0" fontId="3" fillId="0" borderId="0">
      <alignment wrapText="1"/>
    </xf>
    <xf numFmtId="0" fontId="3" fillId="0" borderId="0"/>
    <xf numFmtId="37" fontId="42" fillId="0" borderId="0"/>
    <xf numFmtId="0" fontId="3" fillId="0" borderId="0"/>
    <xf numFmtId="37" fontId="42" fillId="0" borderId="0"/>
    <xf numFmtId="0" fontId="1" fillId="0" borderId="0"/>
    <xf numFmtId="0" fontId="22" fillId="0" borderId="0"/>
    <xf numFmtId="37" fontId="1" fillId="0" borderId="0"/>
    <xf numFmtId="0" fontId="1" fillId="0" borderId="0"/>
    <xf numFmtId="37" fontId="1" fillId="0" borderId="0"/>
    <xf numFmtId="0" fontId="3" fillId="0" borderId="0">
      <alignment wrapText="1"/>
    </xf>
    <xf numFmtId="37" fontId="43"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8" fillId="0" borderId="0"/>
    <xf numFmtId="218" fontId="27"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38" fillId="0" borderId="19" applyNumberFormat="0" applyBorder="0"/>
    <xf numFmtId="204" fontId="15" fillId="0" borderId="0"/>
    <xf numFmtId="0" fontId="45" fillId="8" borderId="20" applyNumberFormat="0" applyFont="0" applyFill="0" applyAlignment="0">
      <alignment horizontal="center" vertical="center"/>
    </xf>
    <xf numFmtId="178" fontId="46"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6"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2" fillId="0" borderId="21"/>
    <xf numFmtId="0" fontId="47" fillId="0" borderId="0"/>
    <xf numFmtId="0" fontId="21" fillId="0" borderId="0"/>
    <xf numFmtId="0" fontId="38" fillId="0" borderId="0"/>
    <xf numFmtId="37" fontId="48" fillId="0" borderId="17">
      <alignment horizontal="right"/>
      <protection locked="0"/>
    </xf>
    <xf numFmtId="37" fontId="49" fillId="0" borderId="17">
      <alignment horizontal="right"/>
      <protection locked="0"/>
    </xf>
    <xf numFmtId="49" fontId="19"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0" fillId="0" borderId="0" applyFill="0" applyBorder="0" applyProtection="0">
      <alignment horizontal="left" vertical="top"/>
    </xf>
    <xf numFmtId="40" fontId="51"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37" fontId="42" fillId="0" borderId="7"/>
    <xf numFmtId="37" fontId="42" fillId="0" borderId="22"/>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3" fillId="0" borderId="0"/>
    <xf numFmtId="0" fontId="3" fillId="0" borderId="0"/>
    <xf numFmtId="14" fontId="33" fillId="6" borderId="34">
      <alignment horizontal="center" vertical="center" wrapText="1"/>
    </xf>
    <xf numFmtId="196" fontId="27" fillId="0" borderId="34">
      <protection hidden="1"/>
    </xf>
    <xf numFmtId="196" fontId="27" fillId="0" borderId="34">
      <protection hidden="1"/>
    </xf>
    <xf numFmtId="37" fontId="48" fillId="0" borderId="34">
      <alignment horizontal="right"/>
      <protection locked="0"/>
    </xf>
    <xf numFmtId="37" fontId="49" fillId="0" borderId="34">
      <alignment horizontal="right"/>
      <protection locked="0"/>
    </xf>
  </cellStyleXfs>
  <cellXfs count="492">
    <xf numFmtId="0" fontId="0" fillId="0" borderId="0" xfId="0"/>
    <xf numFmtId="164" fontId="4" fillId="0" borderId="0" xfId="1" applyNumberFormat="1" applyFont="1" applyAlignment="1">
      <alignment horizontal="right"/>
    </xf>
    <xf numFmtId="0" fontId="4" fillId="0" borderId="0" xfId="0" applyFont="1"/>
    <xf numFmtId="0" fontId="4" fillId="0" borderId="0" xfId="0" applyFont="1" applyAlignment="1">
      <alignment horizontal="right"/>
    </xf>
    <xf numFmtId="165" fontId="4" fillId="0" borderId="0" xfId="1" applyNumberFormat="1" applyFont="1" applyAlignment="1">
      <alignment horizontal="right"/>
    </xf>
    <xf numFmtId="9" fontId="4" fillId="0" borderId="0" xfId="2" applyFont="1" applyAlignment="1">
      <alignment horizontal="right"/>
    </xf>
    <xf numFmtId="165" fontId="4" fillId="0" borderId="5" xfId="1" quotePrefix="1" applyNumberFormat="1" applyFont="1" applyBorder="1" applyAlignment="1">
      <alignment horizontal="right"/>
    </xf>
    <xf numFmtId="0" fontId="4" fillId="0" borderId="0" xfId="0" applyFont="1" applyAlignment="1">
      <alignment horizontal="left"/>
    </xf>
    <xf numFmtId="0" fontId="53" fillId="0" borderId="0" xfId="0" applyFont="1"/>
    <xf numFmtId="9" fontId="4" fillId="0" borderId="5" xfId="2" applyFont="1" applyBorder="1" applyAlignment="1">
      <alignment horizontal="right"/>
    </xf>
    <xf numFmtId="164" fontId="53" fillId="0" borderId="0" xfId="1" quotePrefix="1" applyNumberFormat="1" applyFont="1" applyAlignment="1">
      <alignment horizontal="right"/>
    </xf>
    <xf numFmtId="43" fontId="53" fillId="0" borderId="0" xfId="1" quotePrefix="1" applyFont="1" applyAlignment="1">
      <alignment horizontal="right"/>
    </xf>
    <xf numFmtId="164" fontId="52" fillId="3" borderId="0" xfId="1" quotePrefix="1" applyNumberFormat="1" applyFont="1" applyFill="1" applyAlignment="1">
      <alignment horizontal="right"/>
    </xf>
    <xf numFmtId="164" fontId="54" fillId="2" borderId="2" xfId="1" quotePrefix="1" applyNumberFormat="1" applyFont="1" applyFill="1" applyBorder="1" applyAlignment="1">
      <alignment horizontal="right"/>
    </xf>
    <xf numFmtId="164" fontId="55"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58" fillId="0" borderId="0" xfId="1" applyNumberFormat="1" applyFont="1" applyAlignment="1">
      <alignment horizontal="right"/>
    </xf>
    <xf numFmtId="165" fontId="58" fillId="0" borderId="5" xfId="1" applyNumberFormat="1" applyFont="1" applyBorder="1" applyAlignment="1">
      <alignment horizontal="right"/>
    </xf>
    <xf numFmtId="0" fontId="4" fillId="0" borderId="4" xfId="0" applyFont="1" applyBorder="1"/>
    <xf numFmtId="0" fontId="59" fillId="0" borderId="4" xfId="0" applyFont="1" applyBorder="1"/>
    <xf numFmtId="0" fontId="59" fillId="0" borderId="0" xfId="0" applyFont="1"/>
    <xf numFmtId="165" fontId="59" fillId="0" borderId="0" xfId="1" applyNumberFormat="1" applyFont="1" applyAlignment="1">
      <alignment horizontal="right"/>
    </xf>
    <xf numFmtId="165" fontId="59" fillId="0" borderId="5" xfId="1" applyNumberFormat="1" applyFont="1" applyBorder="1" applyAlignment="1">
      <alignment horizontal="right"/>
    </xf>
    <xf numFmtId="0" fontId="58" fillId="0" borderId="0" xfId="0" applyFont="1"/>
    <xf numFmtId="43" fontId="59" fillId="0" borderId="0" xfId="1" applyFont="1" applyAlignment="1">
      <alignment horizontal="right"/>
    </xf>
    <xf numFmtId="43" fontId="59" fillId="0" borderId="5" xfId="1" applyFont="1" applyBorder="1" applyAlignment="1">
      <alignment horizontal="right"/>
    </xf>
    <xf numFmtId="165" fontId="58" fillId="0" borderId="5" xfId="1" quotePrefix="1" applyNumberFormat="1" applyFont="1" applyBorder="1" applyAlignment="1">
      <alignment horizontal="right"/>
    </xf>
    <xf numFmtId="166" fontId="58" fillId="0" borderId="0" xfId="2" applyNumberFormat="1" applyFont="1" applyAlignment="1">
      <alignment horizontal="right"/>
    </xf>
    <xf numFmtId="9" fontId="58" fillId="0" borderId="5" xfId="2" applyFont="1" applyBorder="1" applyAlignment="1">
      <alignment horizontal="right"/>
    </xf>
    <xf numFmtId="166" fontId="58" fillId="0" borderId="5" xfId="2" applyNumberFormat="1" applyFont="1" applyBorder="1" applyAlignment="1">
      <alignment horizontal="right"/>
    </xf>
    <xf numFmtId="9" fontId="58" fillId="0" borderId="0" xfId="2" applyFont="1" applyAlignment="1">
      <alignment horizontal="right"/>
    </xf>
    <xf numFmtId="164" fontId="58" fillId="0" borderId="5" xfId="1" quotePrefix="1" applyNumberFormat="1" applyFont="1" applyBorder="1" applyAlignment="1">
      <alignment horizontal="right"/>
    </xf>
    <xf numFmtId="165" fontId="60" fillId="9" borderId="0" xfId="1" applyNumberFormat="1" applyFont="1" applyFill="1" applyAlignment="1">
      <alignment horizontal="right"/>
    </xf>
    <xf numFmtId="165" fontId="58" fillId="9" borderId="0" xfId="1" applyNumberFormat="1" applyFont="1" applyFill="1" applyAlignment="1">
      <alignment horizontal="right"/>
    </xf>
    <xf numFmtId="9" fontId="58" fillId="9" borderId="0" xfId="2" applyFont="1" applyFill="1" applyAlignment="1">
      <alignment horizontal="right"/>
    </xf>
    <xf numFmtId="166" fontId="58" fillId="9" borderId="0" xfId="2" applyNumberFormat="1" applyFont="1" applyFill="1" applyAlignment="1">
      <alignment horizontal="right"/>
    </xf>
    <xf numFmtId="7" fontId="58" fillId="0" borderId="0" xfId="1" applyNumberFormat="1" applyFont="1" applyAlignment="1">
      <alignment horizontal="right"/>
    </xf>
    <xf numFmtId="165" fontId="58" fillId="0" borderId="8" xfId="1" applyNumberFormat="1" applyFont="1" applyBorder="1" applyAlignment="1">
      <alignment horizontal="right"/>
    </xf>
    <xf numFmtId="0" fontId="58" fillId="0" borderId="3" xfId="0" applyFont="1" applyBorder="1" applyAlignment="1">
      <alignment horizontal="left" indent="2"/>
    </xf>
    <xf numFmtId="164" fontId="54" fillId="2" borderId="29" xfId="1" quotePrefix="1" applyNumberFormat="1" applyFont="1" applyFill="1" applyBorder="1" applyAlignment="1">
      <alignment horizontal="right"/>
    </xf>
    <xf numFmtId="164" fontId="55" fillId="2" borderId="5" xfId="1" quotePrefix="1" applyNumberFormat="1" applyFont="1" applyFill="1" applyBorder="1" applyAlignment="1">
      <alignment horizontal="right"/>
    </xf>
    <xf numFmtId="164" fontId="2" fillId="3" borderId="29" xfId="1" quotePrefix="1" applyNumberFormat="1" applyFont="1" applyFill="1" applyBorder="1" applyAlignment="1">
      <alignment horizontal="right"/>
    </xf>
    <xf numFmtId="164" fontId="52" fillId="3" borderId="5" xfId="1" quotePrefix="1" applyNumberFormat="1" applyFont="1" applyFill="1" applyBorder="1" applyAlignment="1">
      <alignment horizontal="right"/>
    </xf>
    <xf numFmtId="167" fontId="58" fillId="0" borderId="0" xfId="1" applyNumberFormat="1" applyFont="1" applyAlignment="1">
      <alignment horizontal="right"/>
    </xf>
    <xf numFmtId="0" fontId="58" fillId="0" borderId="4" xfId="0" applyFont="1" applyBorder="1"/>
    <xf numFmtId="9" fontId="4" fillId="0" borderId="0" xfId="1" applyNumberFormat="1" applyFont="1"/>
    <xf numFmtId="0" fontId="59" fillId="0" borderId="3" xfId="0" applyFont="1" applyBorder="1" applyAlignment="1">
      <alignment horizontal="left" indent="4"/>
    </xf>
    <xf numFmtId="0" fontId="58" fillId="0" borderId="3" xfId="0" applyFont="1" applyBorder="1" applyAlignment="1">
      <alignment horizontal="left" indent="5"/>
    </xf>
    <xf numFmtId="164" fontId="58" fillId="0" borderId="0" xfId="1" applyNumberFormat="1" applyFont="1" applyAlignment="1">
      <alignment horizontal="right"/>
    </xf>
    <xf numFmtId="164" fontId="58" fillId="0" borderId="5" xfId="1" applyNumberFormat="1" applyFont="1" applyBorder="1" applyAlignment="1">
      <alignment horizontal="right"/>
    </xf>
    <xf numFmtId="164" fontId="59" fillId="0" borderId="0" xfId="1" applyNumberFormat="1" applyFont="1" applyAlignment="1">
      <alignment horizontal="right"/>
    </xf>
    <xf numFmtId="164" fontId="59" fillId="0" borderId="5" xfId="1" applyNumberFormat="1" applyFont="1" applyBorder="1" applyAlignment="1">
      <alignment horizontal="right"/>
    </xf>
    <xf numFmtId="164" fontId="60" fillId="0" borderId="0" xfId="1" applyNumberFormat="1" applyFont="1" applyAlignment="1">
      <alignment horizontal="right"/>
    </xf>
    <xf numFmtId="164" fontId="60" fillId="0" borderId="5" xfId="1" applyNumberFormat="1" applyFont="1" applyBorder="1" applyAlignment="1">
      <alignment horizontal="right"/>
    </xf>
    <xf numFmtId="164" fontId="52" fillId="0" borderId="0" xfId="1" applyNumberFormat="1" applyFont="1" applyAlignment="1">
      <alignment horizontal="right"/>
    </xf>
    <xf numFmtId="164" fontId="52" fillId="0" borderId="5" xfId="1" applyNumberFormat="1" applyFont="1" applyBorder="1" applyAlignment="1">
      <alignment horizontal="right"/>
    </xf>
    <xf numFmtId="164" fontId="60" fillId="9" borderId="0" xfId="1" applyNumberFormat="1" applyFont="1" applyFill="1" applyAlignment="1">
      <alignment horizontal="right"/>
    </xf>
    <xf numFmtId="165" fontId="53" fillId="0" borderId="5" xfId="1" quotePrefix="1" applyNumberFormat="1" applyFont="1" applyBorder="1" applyAlignment="1">
      <alignment horizontal="right"/>
    </xf>
    <xf numFmtId="165" fontId="4" fillId="0" borderId="25" xfId="1" quotePrefix="1" applyNumberFormat="1" applyFont="1" applyBorder="1" applyAlignment="1">
      <alignment horizontal="right"/>
    </xf>
    <xf numFmtId="9" fontId="62" fillId="0" borderId="0" xfId="2" applyFont="1" applyAlignment="1">
      <alignment horizontal="right"/>
    </xf>
    <xf numFmtId="9" fontId="62" fillId="0" borderId="5" xfId="2" applyFont="1" applyBorder="1" applyAlignment="1">
      <alignment horizontal="right"/>
    </xf>
    <xf numFmtId="9" fontId="59" fillId="0" borderId="5" xfId="2" applyFont="1" applyBorder="1" applyAlignment="1">
      <alignment horizontal="right"/>
    </xf>
    <xf numFmtId="167" fontId="58" fillId="9" borderId="0" xfId="1" applyNumberFormat="1" applyFont="1" applyFill="1" applyAlignment="1">
      <alignment horizontal="right"/>
    </xf>
    <xf numFmtId="0" fontId="63" fillId="0" borderId="0" xfId="0" applyFont="1"/>
    <xf numFmtId="0" fontId="63" fillId="0" borderId="3" xfId="0" applyFont="1" applyBorder="1" applyAlignment="1">
      <alignment horizontal="left"/>
    </xf>
    <xf numFmtId="165" fontId="63" fillId="0" borderId="0" xfId="1" applyNumberFormat="1" applyFont="1" applyAlignment="1">
      <alignment horizontal="right"/>
    </xf>
    <xf numFmtId="165" fontId="63" fillId="0" borderId="5" xfId="1" quotePrefix="1" applyNumberFormat="1" applyFont="1" applyBorder="1" applyAlignment="1">
      <alignment horizontal="right"/>
    </xf>
    <xf numFmtId="165" fontId="59" fillId="0" borderId="27" xfId="1" applyNumberFormat="1" applyFont="1" applyBorder="1" applyAlignment="1">
      <alignment horizontal="right"/>
    </xf>
    <xf numFmtId="165" fontId="53" fillId="0" borderId="28" xfId="1" quotePrefix="1" applyNumberFormat="1" applyFont="1" applyBorder="1" applyAlignment="1">
      <alignment horizontal="right"/>
    </xf>
    <xf numFmtId="0" fontId="58" fillId="0" borderId="12" xfId="0" applyFont="1" applyBorder="1" applyAlignment="1">
      <alignment horizontal="left" indent="2"/>
    </xf>
    <xf numFmtId="0" fontId="58" fillId="0" borderId="13" xfId="0" applyFont="1" applyBorder="1" applyAlignment="1">
      <alignment horizontal="left" indent="1"/>
    </xf>
    <xf numFmtId="9" fontId="58" fillId="9" borderId="26" xfId="2" applyFont="1" applyFill="1" applyBorder="1" applyAlignment="1">
      <alignment horizontal="right"/>
    </xf>
    <xf numFmtId="164" fontId="59" fillId="0" borderId="26" xfId="1" applyNumberFormat="1" applyFont="1" applyBorder="1" applyAlignment="1">
      <alignment horizontal="right"/>
    </xf>
    <xf numFmtId="164" fontId="59" fillId="0" borderId="25" xfId="1" quotePrefix="1" applyNumberFormat="1" applyFont="1" applyBorder="1" applyAlignment="1">
      <alignment horizontal="right"/>
    </xf>
    <xf numFmtId="164" fontId="59" fillId="0" borderId="0" xfId="2" applyNumberFormat="1" applyFont="1" applyAlignment="1">
      <alignment horizontal="right"/>
    </xf>
    <xf numFmtId="166" fontId="59" fillId="0" borderId="0" xfId="2" applyNumberFormat="1" applyFont="1" applyAlignment="1">
      <alignment horizontal="right"/>
    </xf>
    <xf numFmtId="164" fontId="58" fillId="0" borderId="28" xfId="1" applyNumberFormat="1" applyFont="1" applyBorder="1" applyAlignment="1">
      <alignment horizontal="right"/>
    </xf>
    <xf numFmtId="0" fontId="65" fillId="0" borderId="0" xfId="0" applyFont="1"/>
    <xf numFmtId="0" fontId="66" fillId="0" borderId="4" xfId="0" applyFont="1" applyBorder="1" applyAlignment="1">
      <alignment horizontal="left"/>
    </xf>
    <xf numFmtId="0" fontId="64" fillId="0" borderId="13" xfId="0" applyFont="1" applyBorder="1"/>
    <xf numFmtId="164" fontId="64" fillId="0" borderId="26" xfId="1" applyNumberFormat="1" applyFont="1" applyBorder="1" applyAlignment="1">
      <alignment horizontal="right"/>
    </xf>
    <xf numFmtId="164" fontId="64" fillId="0" borderId="25" xfId="1" applyNumberFormat="1" applyFont="1" applyBorder="1" applyAlignment="1">
      <alignment horizontal="right"/>
    </xf>
    <xf numFmtId="43" fontId="64" fillId="0" borderId="32" xfId="1" applyFont="1" applyBorder="1" applyAlignment="1">
      <alignment horizontal="right"/>
    </xf>
    <xf numFmtId="43" fontId="64" fillId="0" borderId="30" xfId="1" applyFont="1" applyBorder="1" applyAlignment="1">
      <alignment horizontal="right"/>
    </xf>
    <xf numFmtId="0" fontId="64" fillId="0" borderId="24" xfId="0" applyFont="1" applyBorder="1" applyAlignment="1">
      <alignment horizontal="left"/>
    </xf>
    <xf numFmtId="0" fontId="64" fillId="0" borderId="12" xfId="0" applyFont="1" applyBorder="1" applyAlignment="1">
      <alignment horizontal="left" indent="2"/>
    </xf>
    <xf numFmtId="0" fontId="64" fillId="0" borderId="13" xfId="0" applyFont="1" applyBorder="1" applyAlignment="1">
      <alignment horizontal="left"/>
    </xf>
    <xf numFmtId="0" fontId="63" fillId="0" borderId="23" xfId="0" applyFont="1" applyBorder="1" applyAlignment="1">
      <alignment horizontal="left" indent="1"/>
    </xf>
    <xf numFmtId="0" fontId="63" fillId="0" borderId="24" xfId="0" applyFont="1" applyBorder="1"/>
    <xf numFmtId="164" fontId="67" fillId="0" borderId="27" xfId="1" applyNumberFormat="1" applyFont="1" applyBorder="1" applyAlignment="1">
      <alignment horizontal="right"/>
    </xf>
    <xf numFmtId="164" fontId="67" fillId="0" borderId="28" xfId="1" applyNumberFormat="1" applyFont="1" applyBorder="1" applyAlignment="1">
      <alignment horizontal="right"/>
    </xf>
    <xf numFmtId="164" fontId="68" fillId="0" borderId="27" xfId="1" applyNumberFormat="1" applyFont="1" applyBorder="1" applyAlignment="1">
      <alignment horizontal="right"/>
    </xf>
    <xf numFmtId="164" fontId="68" fillId="0" borderId="28" xfId="1" applyNumberFormat="1" applyFont="1" applyBorder="1" applyAlignment="1">
      <alignment horizontal="right"/>
    </xf>
    <xf numFmtId="0" fontId="64" fillId="0" borderId="31" xfId="0" applyFont="1" applyBorder="1" applyAlignment="1">
      <alignment horizontal="left" indent="2"/>
    </xf>
    <xf numFmtId="9" fontId="58" fillId="9" borderId="7" xfId="2" applyFont="1" applyFill="1" applyBorder="1" applyAlignment="1">
      <alignment horizontal="right"/>
    </xf>
    <xf numFmtId="164" fontId="58" fillId="9" borderId="0" xfId="1" applyNumberFormat="1" applyFont="1" applyFill="1" applyAlignment="1">
      <alignment horizontal="right"/>
    </xf>
    <xf numFmtId="164" fontId="58" fillId="0" borderId="27" xfId="1" applyNumberFormat="1" applyFont="1" applyBorder="1" applyAlignment="1">
      <alignment horizontal="right"/>
    </xf>
    <xf numFmtId="164" fontId="59" fillId="0" borderId="5" xfId="1" quotePrefix="1" applyNumberFormat="1" applyFont="1" applyBorder="1" applyAlignment="1">
      <alignment horizontal="right"/>
    </xf>
    <xf numFmtId="166" fontId="59" fillId="0" borderId="5" xfId="2" quotePrefix="1" applyNumberFormat="1" applyFont="1" applyBorder="1" applyAlignment="1">
      <alignment horizontal="right"/>
    </xf>
    <xf numFmtId="0" fontId="69" fillId="0" borderId="0" xfId="0" applyFont="1"/>
    <xf numFmtId="0" fontId="64" fillId="0" borderId="33" xfId="0" applyFont="1" applyBorder="1" applyAlignment="1">
      <alignment horizontal="left" indent="1"/>
    </xf>
    <xf numFmtId="165" fontId="58" fillId="0" borderId="0" xfId="1" applyNumberFormat="1" applyFont="1" applyFill="1" applyAlignment="1">
      <alignment horizontal="right"/>
    </xf>
    <xf numFmtId="43" fontId="58" fillId="0" borderId="0" xfId="1" applyFont="1" applyFill="1" applyAlignment="1">
      <alignment horizontal="right"/>
    </xf>
    <xf numFmtId="164" fontId="59" fillId="0" borderId="0" xfId="1" applyNumberFormat="1" applyFont="1" applyFill="1" applyAlignment="1">
      <alignment horizontal="right"/>
    </xf>
    <xf numFmtId="164" fontId="60" fillId="0" borderId="0" xfId="1" applyNumberFormat="1" applyFont="1" applyFill="1" applyAlignment="1">
      <alignment horizontal="right"/>
    </xf>
    <xf numFmtId="164" fontId="58" fillId="0" borderId="0" xfId="1" applyNumberFormat="1" applyFont="1" applyFill="1" applyAlignment="1">
      <alignment horizontal="right"/>
    </xf>
    <xf numFmtId="164" fontId="52" fillId="0" borderId="0" xfId="1" applyNumberFormat="1" applyFont="1" applyFill="1" applyAlignment="1">
      <alignment horizontal="right"/>
    </xf>
    <xf numFmtId="164" fontId="67" fillId="0" borderId="27" xfId="1" applyNumberFormat="1" applyFont="1" applyFill="1" applyBorder="1" applyAlignment="1">
      <alignment horizontal="right"/>
    </xf>
    <xf numFmtId="164" fontId="64" fillId="0" borderId="26" xfId="1" applyNumberFormat="1" applyFont="1" applyFill="1" applyBorder="1" applyAlignment="1">
      <alignment horizontal="right"/>
    </xf>
    <xf numFmtId="164" fontId="68" fillId="0" borderId="27" xfId="1" applyNumberFormat="1" applyFont="1" applyFill="1" applyBorder="1" applyAlignment="1">
      <alignment horizontal="right"/>
    </xf>
    <xf numFmtId="43" fontId="59" fillId="0" borderId="0" xfId="1" applyFont="1" applyFill="1" applyAlignment="1">
      <alignment horizontal="right"/>
    </xf>
    <xf numFmtId="43" fontId="64" fillId="0" borderId="32" xfId="1" applyFont="1" applyFill="1" applyBorder="1" applyAlignment="1">
      <alignment horizontal="right"/>
    </xf>
    <xf numFmtId="165" fontId="60" fillId="0" borderId="0" xfId="1" applyNumberFormat="1" applyFont="1" applyFill="1" applyAlignment="1">
      <alignment horizontal="right"/>
    </xf>
    <xf numFmtId="166" fontId="58" fillId="0" borderId="0" xfId="2" applyNumberFormat="1" applyFont="1" applyFill="1" applyAlignment="1">
      <alignment horizontal="right"/>
    </xf>
    <xf numFmtId="167" fontId="58" fillId="0" borderId="0" xfId="1" applyNumberFormat="1" applyFont="1" applyFill="1" applyAlignment="1">
      <alignment horizontal="right"/>
    </xf>
    <xf numFmtId="164" fontId="59" fillId="0" borderId="26" xfId="1" applyNumberFormat="1" applyFont="1" applyFill="1" applyBorder="1" applyAlignment="1">
      <alignment horizontal="right"/>
    </xf>
    <xf numFmtId="165" fontId="59" fillId="0" borderId="0" xfId="1" applyNumberFormat="1" applyFont="1" applyFill="1" applyAlignment="1">
      <alignment horizontal="right"/>
    </xf>
    <xf numFmtId="165" fontId="59" fillId="0" borderId="27" xfId="1" applyNumberFormat="1" applyFont="1" applyFill="1" applyBorder="1" applyAlignment="1">
      <alignment horizontal="right"/>
    </xf>
    <xf numFmtId="9" fontId="58" fillId="0" borderId="0" xfId="2" applyFont="1" applyFill="1" applyAlignment="1">
      <alignment horizontal="right"/>
    </xf>
    <xf numFmtId="164" fontId="60" fillId="0" borderId="0" xfId="2" applyNumberFormat="1" applyFont="1" applyFill="1" applyAlignment="1">
      <alignment horizontal="right"/>
    </xf>
    <xf numFmtId="9" fontId="58" fillId="0" borderId="26" xfId="2" applyFont="1" applyFill="1" applyBorder="1" applyAlignment="1">
      <alignment horizontal="right"/>
    </xf>
    <xf numFmtId="165" fontId="63" fillId="0" borderId="0" xfId="1" applyNumberFormat="1" applyFont="1" applyFill="1" applyAlignment="1">
      <alignment horizontal="right"/>
    </xf>
    <xf numFmtId="165" fontId="58" fillId="0" borderId="5" xfId="1" quotePrefix="1" applyNumberFormat="1" applyFont="1" applyFill="1" applyBorder="1" applyAlignment="1">
      <alignment horizontal="right"/>
    </xf>
    <xf numFmtId="0" fontId="63" fillId="0" borderId="23" xfId="0" applyFont="1" applyBorder="1" applyAlignment="1">
      <alignment horizontal="left" indent="5"/>
    </xf>
    <xf numFmtId="0" fontId="64" fillId="0" borderId="12" xfId="0" applyFont="1" applyBorder="1" applyAlignment="1">
      <alignment horizontal="left" indent="6"/>
    </xf>
    <xf numFmtId="166" fontId="58" fillId="0" borderId="5" xfId="2" quotePrefix="1" applyNumberFormat="1" applyFont="1" applyFill="1" applyBorder="1" applyAlignment="1">
      <alignment horizontal="right"/>
    </xf>
    <xf numFmtId="164" fontId="58" fillId="0" borderId="5" xfId="1" quotePrefix="1" applyNumberFormat="1" applyFont="1" applyFill="1" applyBorder="1" applyAlignment="1">
      <alignment horizontal="right"/>
    </xf>
    <xf numFmtId="43" fontId="58" fillId="0" borderId="5" xfId="1" quotePrefix="1" applyFont="1" applyFill="1" applyBorder="1" applyAlignment="1">
      <alignment horizontal="right"/>
    </xf>
    <xf numFmtId="9" fontId="58" fillId="0" borderId="5" xfId="2" applyFont="1" applyFill="1" applyBorder="1" applyAlignment="1">
      <alignment horizontal="right"/>
    </xf>
    <xf numFmtId="164" fontId="58" fillId="0" borderId="28" xfId="1" applyNumberFormat="1" applyFont="1" applyFill="1" applyBorder="1" applyAlignment="1">
      <alignment horizontal="right"/>
    </xf>
    <xf numFmtId="165" fontId="4" fillId="0" borderId="5" xfId="1" quotePrefix="1" applyNumberFormat="1" applyFont="1" applyFill="1" applyBorder="1" applyAlignment="1">
      <alignment horizontal="right"/>
    </xf>
    <xf numFmtId="164" fontId="60" fillId="0" borderId="5" xfId="2" applyNumberFormat="1" applyFont="1" applyFill="1" applyBorder="1" applyAlignment="1">
      <alignment horizontal="right"/>
    </xf>
    <xf numFmtId="164" fontId="59" fillId="0" borderId="5" xfId="1" quotePrefix="1" applyNumberFormat="1" applyFont="1" applyFill="1" applyBorder="1" applyAlignment="1">
      <alignment horizontal="right"/>
    </xf>
    <xf numFmtId="166" fontId="59" fillId="0" borderId="5" xfId="2" quotePrefix="1" applyNumberFormat="1" applyFont="1" applyFill="1" applyBorder="1" applyAlignment="1">
      <alignment horizontal="right"/>
    </xf>
    <xf numFmtId="9" fontId="59" fillId="0" borderId="5" xfId="2" applyFont="1" applyFill="1" applyBorder="1" applyAlignment="1">
      <alignment horizontal="right"/>
    </xf>
    <xf numFmtId="0" fontId="59" fillId="0" borderId="3" xfId="0" applyFont="1" applyBorder="1" applyAlignment="1">
      <alignment horizontal="left" indent="5"/>
    </xf>
    <xf numFmtId="0" fontId="53" fillId="0" borderId="4" xfId="0" applyFont="1" applyBorder="1"/>
    <xf numFmtId="166" fontId="58" fillId="0" borderId="5" xfId="2" applyNumberFormat="1" applyFont="1" applyFill="1" applyBorder="1" applyAlignment="1">
      <alignment horizontal="right"/>
    </xf>
    <xf numFmtId="43" fontId="60" fillId="0" borderId="0" xfId="1" applyFont="1" applyFill="1" applyAlignment="1">
      <alignment horizontal="right"/>
    </xf>
    <xf numFmtId="164" fontId="58" fillId="0" borderId="0" xfId="1" applyNumberFormat="1" applyFont="1" applyBorder="1" applyAlignment="1">
      <alignment horizontal="right"/>
    </xf>
    <xf numFmtId="164" fontId="58" fillId="0" borderId="26" xfId="1" applyNumberFormat="1" applyFont="1" applyBorder="1" applyAlignment="1">
      <alignment horizontal="right"/>
    </xf>
    <xf numFmtId="164" fontId="58" fillId="0" borderId="25" xfId="1" applyNumberFormat="1" applyFont="1" applyBorder="1" applyAlignment="1">
      <alignment horizontal="right"/>
    </xf>
    <xf numFmtId="164" fontId="58" fillId="0" borderId="0" xfId="1" applyNumberFormat="1" applyFont="1" applyFill="1" applyBorder="1" applyAlignment="1">
      <alignment horizontal="right"/>
    </xf>
    <xf numFmtId="7" fontId="58" fillId="0" borderId="23" xfId="1" applyNumberFormat="1" applyFont="1" applyBorder="1" applyAlignment="1">
      <alignment horizontal="right"/>
    </xf>
    <xf numFmtId="7" fontId="58" fillId="0" borderId="27" xfId="1" applyNumberFormat="1" applyFont="1" applyFill="1" applyBorder="1" applyAlignment="1">
      <alignment horizontal="right"/>
    </xf>
    <xf numFmtId="165" fontId="58" fillId="0" borderId="3" xfId="1" applyNumberFormat="1" applyFont="1" applyBorder="1" applyAlignment="1">
      <alignment horizontal="right"/>
    </xf>
    <xf numFmtId="165" fontId="58" fillId="0" borderId="0" xfId="1" applyNumberFormat="1" applyFont="1" applyFill="1" applyBorder="1" applyAlignment="1">
      <alignment horizontal="right"/>
    </xf>
    <xf numFmtId="164" fontId="58" fillId="0" borderId="12" xfId="1" applyNumberFormat="1" applyFont="1" applyBorder="1" applyAlignment="1">
      <alignment horizontal="right"/>
    </xf>
    <xf numFmtId="9" fontId="62" fillId="0" borderId="5" xfId="2" applyFont="1" applyFill="1" applyBorder="1" applyAlignment="1">
      <alignment horizontal="right"/>
    </xf>
    <xf numFmtId="166" fontId="4" fillId="0" borderId="0" xfId="1" applyNumberFormat="1" applyFont="1"/>
    <xf numFmtId="165" fontId="59" fillId="0" borderId="5" xfId="1" applyNumberFormat="1" applyFont="1" applyFill="1" applyBorder="1" applyAlignment="1">
      <alignment horizontal="right"/>
    </xf>
    <xf numFmtId="9" fontId="62" fillId="0" borderId="0" xfId="2" applyFont="1" applyFill="1" applyAlignment="1">
      <alignment horizontal="right"/>
    </xf>
    <xf numFmtId="9" fontId="59" fillId="0" borderId="0" xfId="2" applyFont="1" applyFill="1" applyAlignment="1">
      <alignment horizontal="right"/>
    </xf>
    <xf numFmtId="164" fontId="53" fillId="0" borderId="25" xfId="1" quotePrefix="1" applyNumberFormat="1" applyFont="1" applyFill="1" applyBorder="1" applyAlignment="1">
      <alignment horizontal="right"/>
    </xf>
    <xf numFmtId="165" fontId="53" fillId="0" borderId="5" xfId="1" quotePrefix="1" applyNumberFormat="1" applyFont="1" applyFill="1" applyBorder="1" applyAlignment="1">
      <alignment horizontal="right"/>
    </xf>
    <xf numFmtId="165" fontId="4" fillId="0" borderId="25" xfId="1" quotePrefix="1" applyNumberFormat="1" applyFont="1" applyFill="1" applyBorder="1" applyAlignment="1">
      <alignment horizontal="right"/>
    </xf>
    <xf numFmtId="164" fontId="59" fillId="0" borderId="0" xfId="2" applyNumberFormat="1" applyFont="1" applyFill="1" applyAlignment="1">
      <alignment horizontal="right"/>
    </xf>
    <xf numFmtId="166" fontId="59" fillId="0" borderId="0" xfId="2" applyNumberFormat="1" applyFont="1" applyFill="1" applyAlignment="1">
      <alignment horizontal="right"/>
    </xf>
    <xf numFmtId="225" fontId="4" fillId="0" borderId="5" xfId="1" quotePrefix="1" applyNumberFormat="1" applyFont="1" applyFill="1" applyBorder="1" applyAlignment="1">
      <alignment horizontal="right"/>
    </xf>
    <xf numFmtId="43" fontId="58" fillId="0" borderId="5" xfId="1" applyFont="1" applyFill="1" applyBorder="1" applyAlignment="1">
      <alignment horizontal="right"/>
    </xf>
    <xf numFmtId="43" fontId="60" fillId="0" borderId="5" xfId="1" applyFont="1" applyFill="1" applyBorder="1" applyAlignment="1">
      <alignment horizontal="right"/>
    </xf>
    <xf numFmtId="165" fontId="4" fillId="0" borderId="0" xfId="1" applyNumberFormat="1" applyFont="1" applyFill="1"/>
    <xf numFmtId="43" fontId="4" fillId="0" borderId="0" xfId="1" applyFont="1"/>
    <xf numFmtId="9" fontId="58" fillId="0" borderId="0" xfId="2" applyFont="1" applyFill="1" applyAlignment="1">
      <alignment horizontal="left"/>
    </xf>
    <xf numFmtId="164" fontId="4" fillId="0" borderId="0" xfId="1" applyNumberFormat="1" applyFont="1" applyFill="1" applyAlignment="1">
      <alignment horizontal="right"/>
    </xf>
    <xf numFmtId="10" fontId="58" fillId="0" borderId="5" xfId="2" applyNumberFormat="1" applyFont="1" applyBorder="1" applyAlignment="1">
      <alignment horizontal="right"/>
    </xf>
    <xf numFmtId="165" fontId="59" fillId="0" borderId="5" xfId="1" quotePrefix="1" applyNumberFormat="1" applyFont="1" applyFill="1" applyBorder="1" applyAlignment="1">
      <alignment horizontal="right"/>
    </xf>
    <xf numFmtId="166" fontId="71" fillId="0" borderId="0" xfId="2" applyNumberFormat="1" applyFont="1" applyFill="1" applyAlignment="1">
      <alignment horizontal="right"/>
    </xf>
    <xf numFmtId="166" fontId="58" fillId="0" borderId="25" xfId="2" quotePrefix="1" applyNumberFormat="1" applyFont="1" applyFill="1" applyBorder="1" applyAlignment="1">
      <alignment horizontal="right"/>
    </xf>
    <xf numFmtId="165" fontId="58" fillId="0" borderId="5" xfId="1" applyNumberFormat="1" applyFont="1" applyFill="1" applyBorder="1" applyAlignment="1">
      <alignment horizontal="right"/>
    </xf>
    <xf numFmtId="164" fontId="58" fillId="0" borderId="5" xfId="1" applyNumberFormat="1" applyFont="1" applyFill="1" applyBorder="1" applyAlignment="1">
      <alignment horizontal="right"/>
    </xf>
    <xf numFmtId="164" fontId="59" fillId="0" borderId="5" xfId="1" applyNumberFormat="1" applyFont="1" applyFill="1" applyBorder="1" applyAlignment="1">
      <alignment horizontal="right"/>
    </xf>
    <xf numFmtId="43" fontId="64" fillId="0" borderId="30" xfId="1" applyFont="1" applyFill="1" applyBorder="1" applyAlignment="1">
      <alignment horizontal="right"/>
    </xf>
    <xf numFmtId="164" fontId="60" fillId="0" borderId="5" xfId="1" applyNumberFormat="1" applyFont="1" applyFill="1" applyBorder="1" applyAlignment="1">
      <alignment horizontal="right"/>
    </xf>
    <xf numFmtId="43" fontId="59" fillId="0" borderId="5" xfId="1" applyFont="1" applyFill="1" applyBorder="1" applyAlignment="1">
      <alignment horizontal="right"/>
    </xf>
    <xf numFmtId="164" fontId="52" fillId="0" borderId="5" xfId="1" applyNumberFormat="1" applyFont="1" applyFill="1" applyBorder="1" applyAlignment="1">
      <alignment horizontal="right"/>
    </xf>
    <xf numFmtId="164" fontId="67" fillId="0" borderId="28" xfId="1" applyNumberFormat="1" applyFont="1" applyFill="1" applyBorder="1" applyAlignment="1">
      <alignment horizontal="right"/>
    </xf>
    <xf numFmtId="164" fontId="64" fillId="0" borderId="25" xfId="1" applyNumberFormat="1" applyFont="1" applyFill="1" applyBorder="1" applyAlignment="1">
      <alignment horizontal="right"/>
    </xf>
    <xf numFmtId="164" fontId="68" fillId="0" borderId="28" xfId="1" applyNumberFormat="1" applyFont="1" applyFill="1" applyBorder="1" applyAlignment="1">
      <alignment horizontal="right"/>
    </xf>
    <xf numFmtId="9" fontId="58" fillId="0" borderId="0" xfId="2" applyFont="1" applyBorder="1" applyAlignment="1">
      <alignment horizontal="right"/>
    </xf>
    <xf numFmtId="0" fontId="58" fillId="0" borderId="3" xfId="0" applyFont="1" applyBorder="1" applyAlignment="1">
      <alignment horizontal="left" indent="1"/>
    </xf>
    <xf numFmtId="0" fontId="71" fillId="0" borderId="3" xfId="0" applyFont="1" applyBorder="1" applyAlignment="1">
      <alignment horizontal="left" indent="2"/>
    </xf>
    <xf numFmtId="0" fontId="71" fillId="0" borderId="4" xfId="0" applyFont="1" applyBorder="1" applyAlignment="1">
      <alignment horizontal="left" indent="2"/>
    </xf>
    <xf numFmtId="0" fontId="72" fillId="0" borderId="0" xfId="0" applyFont="1" applyAlignment="1">
      <alignment horizontal="left" indent="1"/>
    </xf>
    <xf numFmtId="0" fontId="72" fillId="0" borderId="0" xfId="0" applyFont="1"/>
    <xf numFmtId="0" fontId="71" fillId="0" borderId="4" xfId="0" applyFont="1" applyBorder="1" applyAlignment="1">
      <alignment horizontal="left" indent="1"/>
    </xf>
    <xf numFmtId="166" fontId="71" fillId="0" borderId="5" xfId="2" applyNumberFormat="1" applyFont="1" applyFill="1" applyBorder="1" applyAlignment="1">
      <alignment horizontal="right"/>
    </xf>
    <xf numFmtId="166" fontId="71" fillId="0" borderId="0" xfId="2" applyNumberFormat="1" applyFont="1" applyAlignment="1">
      <alignment horizontal="right"/>
    </xf>
    <xf numFmtId="166" fontId="71" fillId="0" borderId="5" xfId="2" applyNumberFormat="1" applyFont="1" applyBorder="1" applyAlignment="1">
      <alignment horizontal="right"/>
    </xf>
    <xf numFmtId="166" fontId="71" fillId="9" borderId="0" xfId="2" applyNumberFormat="1" applyFont="1" applyFill="1" applyAlignment="1">
      <alignment horizontal="right"/>
    </xf>
    <xf numFmtId="0" fontId="72" fillId="0" borderId="4" xfId="0" applyFont="1" applyBorder="1"/>
    <xf numFmtId="165" fontId="59" fillId="0" borderId="5" xfId="1" quotePrefix="1" applyNumberFormat="1" applyFont="1" applyBorder="1" applyAlignment="1">
      <alignment horizontal="right"/>
    </xf>
    <xf numFmtId="165" fontId="59" fillId="0" borderId="28" xfId="1" quotePrefix="1" applyNumberFormat="1" applyFont="1" applyBorder="1" applyAlignment="1">
      <alignment horizontal="right"/>
    </xf>
    <xf numFmtId="164" fontId="60" fillId="0" borderId="5" xfId="1" quotePrefix="1" applyNumberFormat="1" applyFont="1" applyBorder="1" applyAlignment="1">
      <alignment horizontal="right"/>
    </xf>
    <xf numFmtId="164" fontId="59" fillId="0" borderId="5" xfId="2" applyNumberFormat="1" applyFont="1" applyBorder="1" applyAlignment="1">
      <alignment horizontal="right"/>
    </xf>
    <xf numFmtId="43" fontId="4" fillId="0" borderId="0" xfId="1" applyFont="1" applyFill="1"/>
    <xf numFmtId="9" fontId="63" fillId="0" borderId="0" xfId="2" applyFont="1" applyFill="1" applyAlignment="1">
      <alignment horizontal="right"/>
    </xf>
    <xf numFmtId="166" fontId="58" fillId="9" borderId="26" xfId="2" applyNumberFormat="1" applyFont="1" applyFill="1" applyBorder="1" applyAlignment="1">
      <alignment horizontal="right"/>
    </xf>
    <xf numFmtId="0" fontId="63" fillId="0" borderId="0" xfId="0" quotePrefix="1" applyFont="1"/>
    <xf numFmtId="166" fontId="58" fillId="0" borderId="25" xfId="2" applyNumberFormat="1" applyFont="1" applyBorder="1" applyAlignment="1">
      <alignment horizontal="right"/>
    </xf>
    <xf numFmtId="0" fontId="58" fillId="0" borderId="3" xfId="0" applyFont="1" applyBorder="1" applyAlignment="1">
      <alignment horizontal="left"/>
    </xf>
    <xf numFmtId="0" fontId="58" fillId="0" borderId="4" xfId="0" applyFont="1" applyBorder="1" applyAlignment="1">
      <alignment horizontal="left"/>
    </xf>
    <xf numFmtId="0" fontId="59" fillId="0" borderId="4" xfId="0" applyFont="1" applyBorder="1" applyAlignment="1">
      <alignment horizontal="left"/>
    </xf>
    <xf numFmtId="0" fontId="58" fillId="0" borderId="6" xfId="0" applyFont="1" applyBorder="1" applyAlignment="1">
      <alignment horizontal="left"/>
    </xf>
    <xf numFmtId="0" fontId="58" fillId="0" borderId="10" xfId="0" applyFont="1" applyBorder="1" applyAlignment="1">
      <alignment horizontal="left"/>
    </xf>
    <xf numFmtId="0" fontId="59" fillId="0" borderId="3" xfId="0" applyFont="1" applyBorder="1" applyAlignment="1">
      <alignment horizontal="left" indent="1"/>
    </xf>
    <xf numFmtId="0" fontId="59" fillId="0" borderId="4" xfId="0" applyFont="1" applyBorder="1" applyAlignment="1">
      <alignment horizontal="left" indent="1"/>
    </xf>
    <xf numFmtId="0" fontId="58" fillId="0" borderId="4" xfId="0" applyFont="1" applyBorder="1" applyAlignment="1">
      <alignment horizontal="left" indent="1"/>
    </xf>
    <xf numFmtId="0" fontId="59" fillId="0" borderId="3" xfId="0" applyFont="1" applyBorder="1" applyAlignment="1">
      <alignment horizontal="left" indent="2"/>
    </xf>
    <xf numFmtId="0" fontId="59" fillId="0" borderId="3" xfId="0" applyFont="1" applyBorder="1" applyAlignment="1">
      <alignment horizontal="left" indent="3"/>
    </xf>
    <xf numFmtId="0" fontId="58" fillId="0" borderId="3" xfId="0" applyFont="1" applyBorder="1" applyAlignment="1">
      <alignment horizontal="left" indent="4"/>
    </xf>
    <xf numFmtId="9" fontId="58" fillId="0" borderId="7" xfId="2" applyFont="1" applyFill="1" applyBorder="1" applyAlignment="1">
      <alignment horizontal="right"/>
    </xf>
    <xf numFmtId="165" fontId="58" fillId="0" borderId="8" xfId="1" applyNumberFormat="1" applyFont="1" applyFill="1" applyBorder="1" applyAlignment="1">
      <alignment horizontal="right"/>
    </xf>
    <xf numFmtId="164" fontId="59" fillId="0" borderId="25" xfId="1" quotePrefix="1" applyNumberFormat="1" applyFont="1" applyFill="1" applyBorder="1" applyAlignment="1">
      <alignment horizontal="right"/>
    </xf>
    <xf numFmtId="164" fontId="60" fillId="0" borderId="5" xfId="1" quotePrefix="1" applyNumberFormat="1" applyFont="1" applyFill="1" applyBorder="1" applyAlignment="1">
      <alignment horizontal="right"/>
    </xf>
    <xf numFmtId="10" fontId="58" fillId="0" borderId="0" xfId="2" applyNumberFormat="1" applyFont="1" applyAlignment="1">
      <alignment horizontal="right"/>
    </xf>
    <xf numFmtId="9" fontId="4" fillId="0" borderId="0" xfId="2" applyFont="1" applyFill="1"/>
    <xf numFmtId="9" fontId="62" fillId="0" borderId="5" xfId="1" applyNumberFormat="1" applyFont="1" applyFill="1" applyBorder="1" applyAlignment="1">
      <alignment horizontal="right"/>
    </xf>
    <xf numFmtId="9" fontId="62" fillId="0" borderId="5" xfId="1" applyNumberFormat="1" applyFont="1" applyBorder="1" applyAlignment="1">
      <alignment horizontal="right"/>
    </xf>
    <xf numFmtId="167" fontId="71" fillId="10" borderId="0" xfId="1" applyNumberFormat="1" applyFont="1" applyFill="1" applyAlignment="1">
      <alignment horizontal="right"/>
    </xf>
    <xf numFmtId="0" fontId="58" fillId="0" borderId="23" xfId="0" applyFont="1" applyBorder="1" applyAlignment="1">
      <alignment horizontal="left" indent="2"/>
    </xf>
    <xf numFmtId="0" fontId="58" fillId="0" borderId="24" xfId="0" applyFont="1" applyBorder="1" applyAlignment="1">
      <alignment horizontal="left" indent="1"/>
    </xf>
    <xf numFmtId="9" fontId="58" fillId="0" borderId="27" xfId="2" applyFont="1" applyFill="1" applyBorder="1" applyAlignment="1">
      <alignment horizontal="right"/>
    </xf>
    <xf numFmtId="9" fontId="58" fillId="0" borderId="28" xfId="2" applyFont="1" applyFill="1" applyBorder="1" applyAlignment="1">
      <alignment horizontal="right"/>
    </xf>
    <xf numFmtId="9" fontId="58" fillId="0" borderId="27" xfId="2" applyFont="1" applyBorder="1" applyAlignment="1">
      <alignment horizontal="right"/>
    </xf>
    <xf numFmtId="9" fontId="58" fillId="0" borderId="28" xfId="2" applyFont="1" applyBorder="1" applyAlignment="1">
      <alignment horizontal="right"/>
    </xf>
    <xf numFmtId="9" fontId="62" fillId="0" borderId="0" xfId="1" applyNumberFormat="1" applyFont="1" applyFill="1" applyBorder="1" applyAlignment="1">
      <alignment horizontal="right"/>
    </xf>
    <xf numFmtId="9" fontId="62" fillId="0" borderId="0" xfId="1" applyNumberFormat="1" applyFont="1" applyBorder="1" applyAlignment="1">
      <alignment horizontal="right"/>
    </xf>
    <xf numFmtId="9" fontId="62" fillId="0" borderId="0" xfId="2" applyFont="1" applyBorder="1" applyAlignment="1">
      <alignment horizontal="right"/>
    </xf>
    <xf numFmtId="0" fontId="59" fillId="0" borderId="12" xfId="0" applyFont="1" applyBorder="1" applyAlignment="1">
      <alignment horizontal="left" indent="3"/>
    </xf>
    <xf numFmtId="0" fontId="59" fillId="0" borderId="13" xfId="0" applyFont="1" applyBorder="1" applyAlignment="1">
      <alignment horizontal="left" indent="1"/>
    </xf>
    <xf numFmtId="9" fontId="59" fillId="0" borderId="26" xfId="2" applyFont="1" applyFill="1" applyBorder="1" applyAlignment="1">
      <alignment horizontal="right"/>
    </xf>
    <xf numFmtId="9" fontId="59" fillId="0" borderId="25" xfId="2" applyFont="1" applyFill="1" applyBorder="1" applyAlignment="1">
      <alignment horizontal="right"/>
    </xf>
    <xf numFmtId="166" fontId="59" fillId="0" borderId="26" xfId="2" applyNumberFormat="1" applyFont="1" applyFill="1" applyBorder="1" applyAlignment="1">
      <alignment horizontal="right"/>
    </xf>
    <xf numFmtId="226" fontId="59" fillId="0" borderId="25" xfId="2" applyNumberFormat="1" applyFont="1" applyFill="1" applyBorder="1" applyAlignment="1">
      <alignment horizontal="right"/>
    </xf>
    <xf numFmtId="9" fontId="59" fillId="0" borderId="25" xfId="2" applyFont="1" applyBorder="1" applyAlignment="1">
      <alignment horizontal="right"/>
    </xf>
    <xf numFmtId="0" fontId="58" fillId="0" borderId="23" xfId="0" applyFont="1" applyBorder="1" applyAlignment="1">
      <alignment horizontal="left" indent="1"/>
    </xf>
    <xf numFmtId="0" fontId="71" fillId="0" borderId="0" xfId="0" applyFont="1"/>
    <xf numFmtId="0" fontId="72" fillId="0" borderId="0" xfId="0" applyFont="1" applyAlignment="1">
      <alignment horizontal="left"/>
    </xf>
    <xf numFmtId="43" fontId="58" fillId="0" borderId="0" xfId="1" applyFont="1" applyFill="1" applyBorder="1" applyAlignment="1">
      <alignment horizontal="right"/>
    </xf>
    <xf numFmtId="43" fontId="58" fillId="9" borderId="0" xfId="1" applyFont="1" applyFill="1" applyBorder="1" applyAlignment="1">
      <alignment horizontal="right"/>
    </xf>
    <xf numFmtId="9" fontId="4" fillId="0" borderId="0" xfId="2" applyFont="1"/>
    <xf numFmtId="9" fontId="58" fillId="0" borderId="6" xfId="2" applyFont="1" applyFill="1" applyBorder="1" applyAlignment="1">
      <alignment horizontal="left" indent="2"/>
    </xf>
    <xf numFmtId="9" fontId="58" fillId="0" borderId="10" xfId="2" applyFont="1" applyFill="1" applyBorder="1" applyAlignment="1">
      <alignment horizontal="left" indent="1"/>
    </xf>
    <xf numFmtId="9" fontId="59" fillId="0" borderId="8" xfId="2" applyFont="1" applyFill="1" applyBorder="1" applyAlignment="1">
      <alignment horizontal="right"/>
    </xf>
    <xf numFmtId="7" fontId="58" fillId="0" borderId="27" xfId="1" applyNumberFormat="1" applyFont="1" applyBorder="1" applyAlignment="1">
      <alignment horizontal="right"/>
    </xf>
    <xf numFmtId="7" fontId="4" fillId="0" borderId="28" xfId="1" applyNumberFormat="1" applyFont="1" applyBorder="1" applyAlignment="1">
      <alignment horizontal="right"/>
    </xf>
    <xf numFmtId="7" fontId="58" fillId="9" borderId="27" xfId="1" applyNumberFormat="1" applyFont="1" applyFill="1" applyBorder="1" applyAlignment="1">
      <alignment horizontal="right"/>
    </xf>
    <xf numFmtId="0" fontId="58" fillId="0" borderId="23" xfId="0" applyFont="1" applyBorder="1" applyAlignment="1">
      <alignment horizontal="left"/>
    </xf>
    <xf numFmtId="0" fontId="58" fillId="0" borderId="24" xfId="0" applyFont="1" applyBorder="1" applyAlignment="1">
      <alignment horizontal="left"/>
    </xf>
    <xf numFmtId="0" fontId="61" fillId="0" borderId="23" xfId="0" applyFont="1" applyBorder="1" applyAlignment="1">
      <alignment horizontal="left"/>
    </xf>
    <xf numFmtId="0" fontId="57" fillId="2" borderId="3" xfId="0" applyFont="1" applyFill="1" applyBorder="1" applyAlignment="1">
      <alignment horizontal="left"/>
    </xf>
    <xf numFmtId="0" fontId="57" fillId="2" borderId="4" xfId="0" applyFont="1" applyFill="1" applyBorder="1" applyAlignment="1">
      <alignment horizontal="left"/>
    </xf>
    <xf numFmtId="165" fontId="59" fillId="0" borderId="28" xfId="1" quotePrefix="1" applyNumberFormat="1" applyFont="1" applyFill="1" applyBorder="1" applyAlignment="1">
      <alignment horizontal="right"/>
    </xf>
    <xf numFmtId="166" fontId="73" fillId="0" borderId="5" xfId="2" quotePrefix="1" applyNumberFormat="1" applyFont="1" applyFill="1" applyBorder="1" applyAlignment="1">
      <alignment horizontal="right"/>
    </xf>
    <xf numFmtId="164" fontId="52" fillId="0" borderId="5" xfId="1" quotePrefix="1" applyNumberFormat="1" applyFont="1" applyFill="1" applyBorder="1" applyAlignment="1">
      <alignment horizontal="right"/>
    </xf>
    <xf numFmtId="9" fontId="4" fillId="0" borderId="5" xfId="2" applyFont="1" applyFill="1" applyBorder="1" applyAlignment="1">
      <alignment horizontal="right"/>
    </xf>
    <xf numFmtId="7" fontId="4" fillId="0" borderId="28" xfId="1" applyNumberFormat="1" applyFont="1" applyFill="1" applyBorder="1" applyAlignment="1">
      <alignment horizontal="right"/>
    </xf>
    <xf numFmtId="164" fontId="2" fillId="2" borderId="2" xfId="1" quotePrefix="1" applyNumberFormat="1" applyFont="1" applyFill="1" applyBorder="1" applyAlignment="1">
      <alignment horizontal="right"/>
    </xf>
    <xf numFmtId="164" fontId="2" fillId="2" borderId="29" xfId="1" quotePrefix="1" applyNumberFormat="1" applyFont="1" applyFill="1" applyBorder="1" applyAlignment="1">
      <alignment horizontal="right"/>
    </xf>
    <xf numFmtId="165" fontId="60" fillId="0" borderId="0" xfId="1" applyNumberFormat="1" applyFont="1" applyAlignment="1">
      <alignment horizontal="right"/>
    </xf>
    <xf numFmtId="165" fontId="60" fillId="0" borderId="5" xfId="1" applyNumberFormat="1" applyFont="1" applyBorder="1" applyAlignment="1">
      <alignment horizontal="right"/>
    </xf>
    <xf numFmtId="165" fontId="60" fillId="0" borderId="5" xfId="1" applyNumberFormat="1" applyFont="1" applyFill="1" applyBorder="1" applyAlignment="1">
      <alignment horizontal="right"/>
    </xf>
    <xf numFmtId="165" fontId="52" fillId="3" borderId="0" xfId="1" quotePrefix="1" applyNumberFormat="1" applyFont="1" applyFill="1" applyAlignment="1">
      <alignment horizontal="right"/>
    </xf>
    <xf numFmtId="165" fontId="52" fillId="3" borderId="5" xfId="1" quotePrefix="1" applyNumberFormat="1" applyFont="1" applyFill="1" applyBorder="1" applyAlignment="1">
      <alignment horizontal="right"/>
    </xf>
    <xf numFmtId="0" fontId="58" fillId="0" borderId="3" xfId="3" applyFont="1" applyBorder="1" applyAlignment="1">
      <alignment horizontal="left" vertical="top"/>
    </xf>
    <xf numFmtId="0" fontId="58" fillId="0" borderId="4" xfId="3" applyFont="1" applyBorder="1" applyAlignment="1">
      <alignment horizontal="left" vertical="top"/>
    </xf>
    <xf numFmtId="165" fontId="59" fillId="0" borderId="7" xfId="1" applyNumberFormat="1" applyFont="1" applyBorder="1" applyAlignment="1">
      <alignment horizontal="right"/>
    </xf>
    <xf numFmtId="165" fontId="59" fillId="0" borderId="8" xfId="1" applyNumberFormat="1" applyFont="1" applyBorder="1" applyAlignment="1">
      <alignment horizontal="right"/>
    </xf>
    <xf numFmtId="165" fontId="4" fillId="0" borderId="0" xfId="0" applyNumberFormat="1" applyFont="1" applyAlignment="1">
      <alignment horizontal="left"/>
    </xf>
    <xf numFmtId="43" fontId="53" fillId="0" borderId="0" xfId="0" applyNumberFormat="1" applyFont="1" applyAlignment="1">
      <alignment horizontal="left"/>
    </xf>
    <xf numFmtId="165" fontId="53" fillId="0" borderId="9" xfId="1" applyNumberFormat="1" applyFont="1" applyFill="1" applyBorder="1" applyAlignment="1">
      <alignment horizontal="right"/>
    </xf>
    <xf numFmtId="165" fontId="53" fillId="0" borderId="9" xfId="1" applyNumberFormat="1" applyFont="1" applyBorder="1" applyAlignment="1">
      <alignment horizontal="right"/>
    </xf>
    <xf numFmtId="0" fontId="74" fillId="0" borderId="4" xfId="0" applyFont="1" applyBorder="1" applyAlignment="1">
      <alignment horizontal="left"/>
    </xf>
    <xf numFmtId="165" fontId="58" fillId="0" borderId="0" xfId="1" quotePrefix="1" applyNumberFormat="1" applyFont="1" applyFill="1" applyAlignment="1">
      <alignment horizontal="right"/>
    </xf>
    <xf numFmtId="164" fontId="58" fillId="0" borderId="0" xfId="1" quotePrefix="1" applyNumberFormat="1" applyFont="1" applyAlignment="1">
      <alignment horizontal="right"/>
    </xf>
    <xf numFmtId="164" fontId="58" fillId="0" borderId="0" xfId="1" quotePrefix="1" applyNumberFormat="1" applyFont="1" applyFill="1" applyAlignment="1">
      <alignment horizontal="right"/>
    </xf>
    <xf numFmtId="164" fontId="58" fillId="9" borderId="0" xfId="1" quotePrefix="1" applyNumberFormat="1" applyFont="1" applyFill="1" applyAlignment="1">
      <alignment horizontal="right"/>
    </xf>
    <xf numFmtId="164" fontId="4" fillId="0" borderId="5" xfId="1" quotePrefix="1" applyNumberFormat="1" applyFont="1" applyBorder="1" applyAlignment="1">
      <alignment horizontal="right"/>
    </xf>
    <xf numFmtId="165" fontId="58" fillId="0" borderId="0" xfId="1" quotePrefix="1" applyNumberFormat="1" applyFont="1" applyAlignment="1">
      <alignment horizontal="right"/>
    </xf>
    <xf numFmtId="43" fontId="58" fillId="0" borderId="5" xfId="1" quotePrefix="1" applyFont="1" applyBorder="1" applyAlignment="1">
      <alignment horizontal="right"/>
    </xf>
    <xf numFmtId="166" fontId="58" fillId="0" borderId="0" xfId="2" quotePrefix="1" applyNumberFormat="1" applyFont="1" applyFill="1" applyAlignment="1">
      <alignment horizontal="right"/>
    </xf>
    <xf numFmtId="166" fontId="58" fillId="0" borderId="5" xfId="2" quotePrefix="1" applyNumberFormat="1" applyFont="1" applyBorder="1" applyAlignment="1">
      <alignment horizontal="right"/>
    </xf>
    <xf numFmtId="166" fontId="58" fillId="9" borderId="0" xfId="2" quotePrefix="1" applyNumberFormat="1" applyFont="1" applyFill="1" applyAlignment="1">
      <alignment horizontal="right"/>
    </xf>
    <xf numFmtId="166" fontId="58" fillId="9" borderId="4" xfId="2" applyNumberFormat="1" applyFont="1" applyFill="1" applyBorder="1" applyAlignment="1">
      <alignment horizontal="right"/>
    </xf>
    <xf numFmtId="166" fontId="58" fillId="0" borderId="0" xfId="2" quotePrefix="1" applyNumberFormat="1" applyFont="1" applyBorder="1" applyAlignment="1">
      <alignment horizontal="right"/>
    </xf>
    <xf numFmtId="166" fontId="58" fillId="0" borderId="0" xfId="2" applyNumberFormat="1" applyFont="1" applyFill="1" applyBorder="1" applyAlignment="1">
      <alignment horizontal="right"/>
    </xf>
    <xf numFmtId="166" fontId="58" fillId="0" borderId="0" xfId="2" quotePrefix="1" applyNumberFormat="1" applyFont="1" applyFill="1" applyBorder="1" applyAlignment="1">
      <alignment horizontal="right"/>
    </xf>
    <xf numFmtId="166" fontId="58" fillId="9" borderId="0" xfId="2" applyNumberFormat="1" applyFont="1" applyFill="1" applyBorder="1" applyAlignment="1">
      <alignment horizontal="right"/>
    </xf>
    <xf numFmtId="166" fontId="58" fillId="9" borderId="0" xfId="2" quotePrefix="1" applyNumberFormat="1" applyFont="1" applyFill="1" applyBorder="1" applyAlignment="1">
      <alignment horizontal="right"/>
    </xf>
    <xf numFmtId="166" fontId="4" fillId="0" borderId="5" xfId="2" quotePrefix="1" applyNumberFormat="1" applyFont="1" applyBorder="1" applyAlignment="1">
      <alignment horizontal="right"/>
    </xf>
    <xf numFmtId="0" fontId="75" fillId="0" borderId="23" xfId="0" applyFont="1" applyBorder="1" applyAlignment="1">
      <alignment horizontal="left"/>
    </xf>
    <xf numFmtId="166" fontId="58" fillId="0" borderId="27" xfId="2" quotePrefix="1" applyNumberFormat="1" applyFont="1" applyFill="1" applyBorder="1" applyAlignment="1">
      <alignment horizontal="right"/>
    </xf>
    <xf numFmtId="166" fontId="58" fillId="0" borderId="27" xfId="2" applyNumberFormat="1" applyFont="1" applyFill="1" applyBorder="1" applyAlignment="1">
      <alignment horizontal="right"/>
    </xf>
    <xf numFmtId="166" fontId="58" fillId="0" borderId="28" xfId="2" quotePrefix="1" applyNumberFormat="1" applyFont="1" applyFill="1" applyBorder="1" applyAlignment="1">
      <alignment horizontal="right"/>
    </xf>
    <xf numFmtId="166" fontId="4" fillId="0" borderId="28" xfId="2" quotePrefix="1" applyNumberFormat="1" applyFont="1" applyFill="1" applyBorder="1" applyAlignment="1">
      <alignment horizontal="right"/>
    </xf>
    <xf numFmtId="0" fontId="4" fillId="0" borderId="27" xfId="0" applyFont="1" applyBorder="1"/>
    <xf numFmtId="165" fontId="58" fillId="0" borderId="4" xfId="1" applyNumberFormat="1" applyFont="1" applyBorder="1" applyAlignment="1">
      <alignment horizontal="left"/>
    </xf>
    <xf numFmtId="165" fontId="58" fillId="0" borderId="0" xfId="1" quotePrefix="1" applyNumberFormat="1" applyFont="1" applyBorder="1" applyAlignment="1">
      <alignment horizontal="right"/>
    </xf>
    <xf numFmtId="165" fontId="58" fillId="0" borderId="0" xfId="1" quotePrefix="1" applyNumberFormat="1" applyFont="1" applyFill="1" applyBorder="1" applyAlignment="1">
      <alignment horizontal="right"/>
    </xf>
    <xf numFmtId="165" fontId="58" fillId="9" borderId="0" xfId="1" applyNumberFormat="1" applyFont="1" applyFill="1" applyBorder="1" applyAlignment="1">
      <alignment horizontal="right"/>
    </xf>
    <xf numFmtId="165" fontId="58" fillId="9" borderId="0" xfId="1" quotePrefix="1" applyNumberFormat="1" applyFont="1" applyFill="1" applyBorder="1" applyAlignment="1">
      <alignment horizontal="right"/>
    </xf>
    <xf numFmtId="165" fontId="4" fillId="0" borderId="0" xfId="1" applyNumberFormat="1" applyFont="1" applyBorder="1"/>
    <xf numFmtId="9" fontId="58" fillId="0" borderId="0" xfId="2" applyFont="1" applyFill="1" applyBorder="1" applyAlignment="1">
      <alignment horizontal="right"/>
    </xf>
    <xf numFmtId="165" fontId="59" fillId="0" borderId="0" xfId="1" quotePrefix="1" applyNumberFormat="1" applyFont="1" applyBorder="1" applyAlignment="1">
      <alignment horizontal="right"/>
    </xf>
    <xf numFmtId="164" fontId="59" fillId="0" borderId="0" xfId="1" quotePrefix="1" applyNumberFormat="1" applyFont="1" applyBorder="1" applyAlignment="1">
      <alignment horizontal="right"/>
    </xf>
    <xf numFmtId="227" fontId="59" fillId="0" borderId="5" xfId="1" quotePrefix="1" applyNumberFormat="1" applyFont="1" applyFill="1" applyBorder="1" applyAlignment="1">
      <alignment horizontal="right"/>
    </xf>
    <xf numFmtId="9" fontId="59" fillId="0" borderId="0" xfId="2" quotePrefix="1" applyFont="1" applyBorder="1" applyAlignment="1">
      <alignment horizontal="right"/>
    </xf>
    <xf numFmtId="0" fontId="58" fillId="0" borderId="3" xfId="0" applyFont="1" applyBorder="1"/>
    <xf numFmtId="0" fontId="58" fillId="0" borderId="0" xfId="0" applyFont="1" applyAlignment="1">
      <alignment horizontal="right"/>
    </xf>
    <xf numFmtId="43" fontId="58" fillId="0" borderId="0" xfId="1" quotePrefix="1" applyFont="1" applyBorder="1" applyAlignment="1">
      <alignment horizontal="right"/>
    </xf>
    <xf numFmtId="0" fontId="58" fillId="0" borderId="6" xfId="0" applyFont="1" applyBorder="1"/>
    <xf numFmtId="0" fontId="58" fillId="0" borderId="10" xfId="0" applyFont="1" applyBorder="1"/>
    <xf numFmtId="164" fontId="58" fillId="0" borderId="7" xfId="1" applyNumberFormat="1" applyFont="1" applyBorder="1" applyAlignment="1">
      <alignment horizontal="right"/>
    </xf>
    <xf numFmtId="0" fontId="58" fillId="0" borderId="7" xfId="0" applyFont="1" applyBorder="1" applyAlignment="1">
      <alignment horizontal="right"/>
    </xf>
    <xf numFmtId="43" fontId="58" fillId="0" borderId="7" xfId="1" quotePrefix="1" applyFont="1" applyBorder="1" applyAlignment="1">
      <alignment horizontal="right"/>
    </xf>
    <xf numFmtId="165" fontId="58" fillId="0" borderId="8" xfId="0" applyNumberFormat="1" applyFont="1" applyBorder="1" applyAlignment="1">
      <alignment horizontal="right"/>
    </xf>
    <xf numFmtId="165" fontId="4" fillId="0" borderId="5" xfId="1" applyNumberFormat="1" applyFont="1" applyBorder="1" applyAlignment="1">
      <alignment horizontal="right"/>
    </xf>
    <xf numFmtId="165" fontId="4" fillId="0" borderId="0" xfId="1" applyNumberFormat="1" applyFont="1" applyAlignment="1">
      <alignment horizontal="left"/>
    </xf>
    <xf numFmtId="0" fontId="58" fillId="0" borderId="12" xfId="0" applyFont="1" applyBorder="1"/>
    <xf numFmtId="0" fontId="58" fillId="0" borderId="13" xfId="0" applyFont="1" applyBorder="1"/>
    <xf numFmtId="165" fontId="58" fillId="11" borderId="27" xfId="1" applyNumberFormat="1" applyFont="1" applyFill="1" applyBorder="1" applyAlignment="1">
      <alignment horizontal="right"/>
    </xf>
    <xf numFmtId="165" fontId="4" fillId="11" borderId="27" xfId="1" applyNumberFormat="1" applyFont="1" applyFill="1" applyBorder="1" applyAlignment="1">
      <alignment horizontal="left"/>
    </xf>
    <xf numFmtId="165" fontId="4" fillId="11" borderId="27" xfId="1" applyNumberFormat="1" applyFont="1" applyFill="1" applyBorder="1" applyAlignment="1">
      <alignment horizontal="right"/>
    </xf>
    <xf numFmtId="165" fontId="58" fillId="11" borderId="28" xfId="1" applyNumberFormat="1" applyFont="1" applyFill="1" applyBorder="1" applyAlignment="1">
      <alignment horizontal="right"/>
    </xf>
    <xf numFmtId="0" fontId="58" fillId="11" borderId="3" xfId="0" applyFont="1" applyFill="1" applyBorder="1" applyAlignment="1">
      <alignment horizontal="left"/>
    </xf>
    <xf numFmtId="0" fontId="58" fillId="11" borderId="4" xfId="0" applyFont="1" applyFill="1" applyBorder="1" applyAlignment="1">
      <alignment horizontal="left"/>
    </xf>
    <xf numFmtId="165" fontId="58" fillId="11" borderId="0" xfId="1" applyNumberFormat="1" applyFont="1" applyFill="1" applyAlignment="1">
      <alignment horizontal="right"/>
    </xf>
    <xf numFmtId="165" fontId="58" fillId="11" borderId="5" xfId="1" applyNumberFormat="1" applyFont="1" applyFill="1" applyBorder="1" applyAlignment="1">
      <alignment horizontal="right"/>
    </xf>
    <xf numFmtId="165" fontId="60" fillId="11" borderId="0" xfId="1" applyNumberFormat="1" applyFont="1" applyFill="1" applyAlignment="1">
      <alignment horizontal="right"/>
    </xf>
    <xf numFmtId="165" fontId="60" fillId="11" borderId="5" xfId="1" applyNumberFormat="1" applyFont="1" applyFill="1" applyBorder="1" applyAlignment="1">
      <alignment horizontal="right"/>
    </xf>
    <xf numFmtId="165" fontId="59" fillId="11" borderId="0" xfId="1" applyNumberFormat="1" applyFont="1" applyFill="1" applyAlignment="1">
      <alignment horizontal="right"/>
    </xf>
    <xf numFmtId="165" fontId="59" fillId="11" borderId="5" xfId="1" applyNumberFormat="1" applyFont="1" applyFill="1" applyBorder="1" applyAlignment="1">
      <alignment horizontal="right"/>
    </xf>
    <xf numFmtId="165" fontId="58" fillId="0" borderId="27" xfId="1" applyNumberFormat="1" applyFont="1" applyBorder="1" applyAlignment="1">
      <alignment horizontal="right"/>
    </xf>
    <xf numFmtId="165" fontId="4" fillId="0" borderId="27" xfId="1" applyNumberFormat="1" applyFont="1" applyBorder="1" applyAlignment="1">
      <alignment horizontal="right"/>
    </xf>
    <xf numFmtId="165" fontId="4" fillId="0" borderId="28" xfId="1" applyNumberFormat="1" applyFont="1" applyBorder="1" applyAlignment="1">
      <alignment horizontal="right"/>
    </xf>
    <xf numFmtId="165" fontId="4" fillId="0" borderId="27" xfId="1" applyNumberFormat="1" applyFont="1" applyFill="1" applyBorder="1" applyAlignment="1">
      <alignment horizontal="right"/>
    </xf>
    <xf numFmtId="165" fontId="58" fillId="0" borderId="28" xfId="1" applyNumberFormat="1" applyFont="1" applyBorder="1" applyAlignment="1">
      <alignment horizontal="right"/>
    </xf>
    <xf numFmtId="0" fontId="58" fillId="11" borderId="0" xfId="0" applyFont="1" applyFill="1" applyAlignment="1">
      <alignment horizontal="left"/>
    </xf>
    <xf numFmtId="0" fontId="61" fillId="11" borderId="4" xfId="0" applyFont="1" applyFill="1" applyBorder="1" applyAlignment="1">
      <alignment horizontal="left"/>
    </xf>
    <xf numFmtId="165" fontId="58" fillId="0" borderId="27" xfId="1" applyNumberFormat="1" applyFont="1" applyFill="1" applyBorder="1" applyAlignment="1">
      <alignment horizontal="right"/>
    </xf>
    <xf numFmtId="165" fontId="58" fillId="9" borderId="27" xfId="1" applyNumberFormat="1" applyFont="1" applyFill="1" applyBorder="1" applyAlignment="1">
      <alignment horizontal="right"/>
    </xf>
    <xf numFmtId="165" fontId="59" fillId="11" borderId="28" xfId="1" applyNumberFormat="1" applyFont="1" applyFill="1" applyBorder="1" applyAlignment="1">
      <alignment horizontal="right"/>
    </xf>
    <xf numFmtId="165" fontId="4" fillId="11" borderId="0" xfId="1" applyNumberFormat="1" applyFont="1" applyFill="1" applyAlignment="1">
      <alignment horizontal="right"/>
    </xf>
    <xf numFmtId="165" fontId="58" fillId="11" borderId="26" xfId="1" applyNumberFormat="1" applyFont="1" applyFill="1" applyBorder="1" applyAlignment="1">
      <alignment horizontal="right"/>
    </xf>
    <xf numFmtId="165" fontId="58" fillId="11" borderId="25" xfId="1" applyNumberFormat="1" applyFont="1" applyFill="1" applyBorder="1" applyAlignment="1">
      <alignment horizontal="right"/>
    </xf>
    <xf numFmtId="43" fontId="58" fillId="0" borderId="7" xfId="1" applyFont="1" applyBorder="1" applyAlignment="1">
      <alignment horizontal="right"/>
    </xf>
    <xf numFmtId="43" fontId="58" fillId="0" borderId="8" xfId="1" applyFont="1" applyBorder="1" applyAlignment="1">
      <alignment horizontal="right"/>
    </xf>
    <xf numFmtId="165" fontId="4" fillId="0" borderId="2" xfId="1" applyNumberFormat="1" applyFont="1" applyBorder="1" applyAlignment="1">
      <alignment horizontal="right"/>
    </xf>
    <xf numFmtId="164" fontId="76" fillId="0" borderId="0" xfId="1" quotePrefix="1" applyNumberFormat="1" applyFont="1" applyAlignment="1">
      <alignment horizontal="right"/>
    </xf>
    <xf numFmtId="164" fontId="76" fillId="0" borderId="5" xfId="1" quotePrefix="1" applyNumberFormat="1" applyFont="1" applyBorder="1" applyAlignment="1">
      <alignment horizontal="right"/>
    </xf>
    <xf numFmtId="166" fontId="58" fillId="0" borderId="0" xfId="2" quotePrefix="1" applyNumberFormat="1" applyFont="1" applyAlignment="1">
      <alignment horizontal="right"/>
    </xf>
    <xf numFmtId="9" fontId="58" fillId="0" borderId="0" xfId="2" quotePrefix="1" applyFont="1" applyAlignment="1">
      <alignment horizontal="right"/>
    </xf>
    <xf numFmtId="9" fontId="58" fillId="0" borderId="5" xfId="2" quotePrefix="1" applyFont="1" applyBorder="1" applyAlignment="1">
      <alignment horizontal="right"/>
    </xf>
    <xf numFmtId="9" fontId="58" fillId="0" borderId="0" xfId="2" quotePrefix="1" applyFont="1" applyFill="1" applyAlignment="1">
      <alignment horizontal="right"/>
    </xf>
    <xf numFmtId="9" fontId="58" fillId="9" borderId="0" xfId="2" quotePrefix="1" applyFont="1" applyFill="1" applyAlignment="1">
      <alignment horizontal="right"/>
    </xf>
    <xf numFmtId="0" fontId="4" fillId="0" borderId="4" xfId="0" applyFont="1" applyBorder="1" applyAlignment="1">
      <alignment horizontal="left"/>
    </xf>
    <xf numFmtId="10" fontId="60" fillId="0" borderId="5" xfId="2" applyNumberFormat="1" applyFont="1" applyFill="1" applyBorder="1" applyAlignment="1">
      <alignment horizontal="right"/>
    </xf>
    <xf numFmtId="164" fontId="58" fillId="0" borderId="0" xfId="2" applyNumberFormat="1" applyFont="1" applyFill="1" applyAlignment="1">
      <alignment horizontal="right"/>
    </xf>
    <xf numFmtId="10" fontId="4" fillId="0" borderId="5" xfId="2" quotePrefix="1" applyNumberFormat="1" applyFont="1" applyFill="1" applyBorder="1" applyAlignment="1">
      <alignment horizontal="right"/>
    </xf>
    <xf numFmtId="164" fontId="58" fillId="9" borderId="0" xfId="2" applyNumberFormat="1" applyFont="1" applyFill="1" applyAlignment="1">
      <alignment horizontal="right"/>
    </xf>
    <xf numFmtId="164" fontId="59" fillId="0" borderId="25" xfId="1" applyNumberFormat="1" applyFont="1" applyFill="1" applyBorder="1" applyAlignment="1">
      <alignment horizontal="right"/>
    </xf>
    <xf numFmtId="165" fontId="62" fillId="0" borderId="5" xfId="1" applyNumberFormat="1" applyFont="1" applyBorder="1" applyAlignment="1">
      <alignment horizontal="right"/>
    </xf>
    <xf numFmtId="9" fontId="58" fillId="0" borderId="5" xfId="2" quotePrefix="1" applyFont="1" applyFill="1" applyBorder="1" applyAlignment="1">
      <alignment horizontal="right"/>
    </xf>
    <xf numFmtId="0" fontId="4" fillId="0" borderId="10" xfId="0" applyFont="1" applyBorder="1" applyAlignment="1">
      <alignment horizontal="left"/>
    </xf>
    <xf numFmtId="165" fontId="58" fillId="0" borderId="7" xfId="1" quotePrefix="1" applyNumberFormat="1" applyFont="1" applyFill="1" applyBorder="1" applyAlignment="1">
      <alignment horizontal="right"/>
    </xf>
    <xf numFmtId="165" fontId="58" fillId="0" borderId="7" xfId="1" applyNumberFormat="1" applyFont="1" applyFill="1" applyBorder="1" applyAlignment="1">
      <alignment horizontal="right"/>
    </xf>
    <xf numFmtId="165" fontId="58" fillId="0" borderId="8" xfId="1" quotePrefix="1" applyNumberFormat="1" applyFont="1" applyFill="1" applyBorder="1" applyAlignment="1">
      <alignment horizontal="right"/>
    </xf>
    <xf numFmtId="165" fontId="59" fillId="0" borderId="8" xfId="1" quotePrefix="1" applyNumberFormat="1" applyFont="1" applyFill="1" applyBorder="1" applyAlignment="1">
      <alignment horizontal="right"/>
    </xf>
    <xf numFmtId="9" fontId="73" fillId="0" borderId="0" xfId="2" applyFont="1" applyFill="1"/>
    <xf numFmtId="9" fontId="73" fillId="0" borderId="0" xfId="2" applyFont="1" applyFill="1" applyAlignment="1">
      <alignment horizontal="right"/>
    </xf>
    <xf numFmtId="165" fontId="63" fillId="0" borderId="0" xfId="2" applyNumberFormat="1" applyFont="1" applyAlignment="1">
      <alignment horizontal="right"/>
    </xf>
    <xf numFmtId="166" fontId="63" fillId="0" borderId="0" xfId="2" applyNumberFormat="1" applyFont="1" applyFill="1" applyAlignment="1">
      <alignment horizontal="right"/>
    </xf>
    <xf numFmtId="10" fontId="73" fillId="0" borderId="0" xfId="2" applyNumberFormat="1" applyFont="1" applyFill="1"/>
    <xf numFmtId="43" fontId="4" fillId="0" borderId="25" xfId="1" quotePrefix="1" applyFont="1" applyBorder="1" applyAlignment="1">
      <alignment horizontal="right"/>
    </xf>
    <xf numFmtId="9" fontId="59" fillId="0" borderId="5" xfId="2" quotePrefix="1" applyFont="1" applyBorder="1" applyAlignment="1">
      <alignment horizontal="right"/>
    </xf>
    <xf numFmtId="167" fontId="58" fillId="0" borderId="28" xfId="1" applyNumberFormat="1" applyFont="1" applyBorder="1" applyAlignment="1">
      <alignment horizontal="right"/>
    </xf>
    <xf numFmtId="166" fontId="59" fillId="0" borderId="5" xfId="2" applyNumberFormat="1" applyFont="1" applyFill="1" applyBorder="1" applyAlignment="1">
      <alignment horizontal="right"/>
    </xf>
    <xf numFmtId="43" fontId="4" fillId="0" borderId="5" xfId="1" quotePrefix="1" applyFont="1" applyBorder="1" applyAlignment="1">
      <alignment horizontal="right"/>
    </xf>
    <xf numFmtId="167" fontId="4" fillId="0" borderId="5" xfId="1" quotePrefix="1" applyNumberFormat="1" applyFont="1" applyBorder="1" applyAlignment="1">
      <alignment horizontal="right"/>
    </xf>
    <xf numFmtId="165" fontId="4" fillId="0" borderId="0" xfId="2" applyNumberFormat="1" applyFont="1" applyFill="1"/>
    <xf numFmtId="166" fontId="4" fillId="0" borderId="0" xfId="2" applyNumberFormat="1" applyFont="1" applyFill="1"/>
    <xf numFmtId="0" fontId="73" fillId="0" borderId="0" xfId="0" applyFont="1"/>
    <xf numFmtId="166" fontId="73" fillId="0" borderId="0" xfId="0" applyNumberFormat="1" applyFont="1" applyAlignment="1">
      <alignment horizontal="right"/>
    </xf>
    <xf numFmtId="166" fontId="73" fillId="0" borderId="0" xfId="2" applyNumberFormat="1" applyFont="1"/>
    <xf numFmtId="43" fontId="73" fillId="0" borderId="0" xfId="2" applyNumberFormat="1" applyFont="1" applyFill="1"/>
    <xf numFmtId="0" fontId="58" fillId="0" borderId="6" xfId="0" applyFont="1" applyBorder="1" applyAlignment="1">
      <alignment horizontal="left" indent="1"/>
    </xf>
    <xf numFmtId="165" fontId="58" fillId="0" borderId="5" xfId="0" applyNumberFormat="1" applyFont="1" applyBorder="1" applyAlignment="1">
      <alignment horizontal="right"/>
    </xf>
    <xf numFmtId="165" fontId="58" fillId="9" borderId="5" xfId="0" applyNumberFormat="1" applyFont="1" applyFill="1" applyBorder="1" applyAlignment="1">
      <alignment horizontal="right"/>
    </xf>
    <xf numFmtId="43" fontId="73" fillId="0" borderId="0" xfId="1" applyFont="1" applyFill="1"/>
    <xf numFmtId="166" fontId="4" fillId="0" borderId="28" xfId="2" applyNumberFormat="1" applyFont="1" applyBorder="1" applyAlignment="1">
      <alignment horizontal="right"/>
    </xf>
    <xf numFmtId="166" fontId="73" fillId="0" borderId="0" xfId="2" applyNumberFormat="1" applyFont="1" applyFill="1"/>
    <xf numFmtId="43" fontId="63" fillId="0" borderId="0" xfId="1" applyFont="1" applyFill="1" applyAlignment="1">
      <alignment horizontal="right"/>
    </xf>
    <xf numFmtId="7" fontId="58" fillId="12" borderId="27" xfId="1" applyNumberFormat="1" applyFont="1" applyFill="1" applyBorder="1" applyAlignment="1">
      <alignment horizontal="right"/>
    </xf>
    <xf numFmtId="165" fontId="59" fillId="12" borderId="8" xfId="1" quotePrefix="1" applyNumberFormat="1" applyFont="1" applyFill="1" applyBorder="1" applyAlignment="1">
      <alignment horizontal="right"/>
    </xf>
    <xf numFmtId="0" fontId="58" fillId="0" borderId="1" xfId="0" applyFont="1" applyBorder="1"/>
    <xf numFmtId="0" fontId="4" fillId="0" borderId="2" xfId="0" applyFont="1" applyBorder="1"/>
    <xf numFmtId="164" fontId="4" fillId="0" borderId="2" xfId="1" applyNumberFormat="1" applyFont="1" applyBorder="1" applyAlignment="1">
      <alignment horizontal="right"/>
    </xf>
    <xf numFmtId="0" fontId="4" fillId="0" borderId="2" xfId="0" applyFont="1" applyBorder="1" applyAlignment="1">
      <alignment horizontal="right"/>
    </xf>
    <xf numFmtId="164" fontId="4" fillId="0" borderId="0" xfId="1" applyNumberFormat="1" applyFont="1" applyBorder="1" applyAlignment="1">
      <alignment horizontal="right"/>
    </xf>
    <xf numFmtId="0" fontId="4" fillId="0" borderId="7" xfId="0" applyFont="1" applyBorder="1"/>
    <xf numFmtId="164" fontId="4" fillId="0" borderId="7" xfId="1" applyNumberFormat="1" applyFont="1" applyBorder="1" applyAlignment="1">
      <alignment horizontal="right"/>
    </xf>
    <xf numFmtId="0" fontId="4" fillId="0" borderId="7" xfId="0" applyFont="1" applyBorder="1" applyAlignment="1">
      <alignment horizontal="right"/>
    </xf>
    <xf numFmtId="166" fontId="58" fillId="0" borderId="29" xfId="2" applyNumberFormat="1" applyFont="1" applyBorder="1" applyAlignment="1">
      <alignment horizontal="right"/>
    </xf>
    <xf numFmtId="166" fontId="58" fillId="12" borderId="8" xfId="0" applyNumberFormat="1" applyFont="1" applyFill="1" applyBorder="1" applyAlignment="1">
      <alignment horizontal="right"/>
    </xf>
    <xf numFmtId="227" fontId="59" fillId="12" borderId="5" xfId="1" quotePrefix="1" applyNumberFormat="1" applyFont="1" applyFill="1" applyBorder="1" applyAlignment="1">
      <alignment horizontal="right"/>
    </xf>
    <xf numFmtId="166" fontId="58" fillId="12" borderId="5" xfId="2" applyNumberFormat="1" applyFont="1" applyFill="1" applyBorder="1" applyAlignment="1">
      <alignment horizontal="right"/>
    </xf>
    <xf numFmtId="43" fontId="58" fillId="0" borderId="0" xfId="1" applyFont="1" applyAlignment="1">
      <alignment horizontal="right"/>
    </xf>
    <xf numFmtId="225" fontId="58" fillId="0" borderId="0" xfId="1" applyNumberFormat="1" applyFont="1" applyAlignment="1">
      <alignment horizontal="right"/>
    </xf>
    <xf numFmtId="0" fontId="58" fillId="0" borderId="2" xfId="0" applyFont="1" applyBorder="1"/>
    <xf numFmtId="164" fontId="58" fillId="0" borderId="2" xfId="1" applyNumberFormat="1" applyFont="1" applyBorder="1" applyAlignment="1">
      <alignment horizontal="right"/>
    </xf>
    <xf numFmtId="0" fontId="58" fillId="0" borderId="2" xfId="0" applyFont="1" applyBorder="1" applyAlignment="1">
      <alignment horizontal="right"/>
    </xf>
    <xf numFmtId="0" fontId="58" fillId="0" borderId="11" xfId="0" applyFont="1" applyBorder="1" applyAlignment="1">
      <alignment horizontal="right"/>
    </xf>
    <xf numFmtId="0" fontId="58" fillId="0" borderId="7" xfId="0" applyFont="1" applyBorder="1"/>
    <xf numFmtId="0" fontId="58" fillId="0" borderId="10" xfId="0" applyFont="1" applyBorder="1" applyAlignment="1">
      <alignment horizontal="right"/>
    </xf>
    <xf numFmtId="43" fontId="64" fillId="12" borderId="30" xfId="1" applyFont="1" applyFill="1" applyBorder="1" applyAlignment="1">
      <alignment horizontal="right"/>
    </xf>
    <xf numFmtId="9" fontId="59" fillId="12" borderId="8" xfId="2" applyFont="1" applyFill="1" applyBorder="1" applyAlignment="1">
      <alignment horizontal="right"/>
    </xf>
    <xf numFmtId="2" fontId="58" fillId="12" borderId="29" xfId="0" applyNumberFormat="1" applyFont="1" applyFill="1" applyBorder="1" applyAlignment="1">
      <alignment horizontal="right"/>
    </xf>
    <xf numFmtId="2" fontId="58" fillId="12" borderId="8" xfId="0" applyNumberFormat="1" applyFont="1" applyFill="1" applyBorder="1" applyAlignment="1">
      <alignment horizontal="right"/>
    </xf>
    <xf numFmtId="165" fontId="58" fillId="12" borderId="5" xfId="1" applyNumberFormat="1" applyFont="1" applyFill="1" applyBorder="1" applyAlignment="1">
      <alignment horizontal="right"/>
    </xf>
    <xf numFmtId="43" fontId="64" fillId="12" borderId="32" xfId="1" applyFont="1" applyFill="1" applyBorder="1" applyAlignment="1">
      <alignment horizontal="right"/>
    </xf>
    <xf numFmtId="166" fontId="58" fillId="12" borderId="0" xfId="2" applyNumberFormat="1" applyFont="1" applyFill="1" applyAlignment="1">
      <alignment horizontal="right"/>
    </xf>
    <xf numFmtId="227" fontId="58" fillId="0" borderId="4" xfId="1" applyNumberFormat="1" applyFont="1" applyFill="1" applyBorder="1" applyAlignment="1">
      <alignment horizontal="right"/>
    </xf>
    <xf numFmtId="43" fontId="60" fillId="0" borderId="4" xfId="1" quotePrefix="1" applyFont="1" applyBorder="1" applyAlignment="1">
      <alignment horizontal="right"/>
    </xf>
    <xf numFmtId="0" fontId="59" fillId="0" borderId="6" xfId="0" applyFont="1" applyBorder="1"/>
    <xf numFmtId="228" fontId="59" fillId="0" borderId="10" xfId="1" applyNumberFormat="1" applyFont="1" applyBorder="1" applyAlignment="1">
      <alignment horizontal="right"/>
    </xf>
    <xf numFmtId="229" fontId="58" fillId="0" borderId="4" xfId="2" applyNumberFormat="1" applyFont="1" applyFill="1" applyBorder="1" applyAlignment="1">
      <alignment horizontal="right"/>
    </xf>
    <xf numFmtId="229" fontId="58" fillId="0" borderId="4" xfId="1" applyNumberFormat="1" applyFont="1" applyFill="1" applyBorder="1" applyAlignment="1">
      <alignment horizontal="right"/>
    </xf>
    <xf numFmtId="229" fontId="58" fillId="9" borderId="4" xfId="1" applyNumberFormat="1" applyFont="1" applyFill="1" applyBorder="1" applyAlignment="1">
      <alignment horizontal="right"/>
    </xf>
    <xf numFmtId="166" fontId="58" fillId="0" borderId="8" xfId="2" applyNumberFormat="1" applyFont="1" applyBorder="1" applyAlignment="1">
      <alignment horizontal="right"/>
    </xf>
    <xf numFmtId="9" fontId="58" fillId="0" borderId="8" xfId="2" applyFont="1" applyBorder="1" applyAlignment="1">
      <alignment horizontal="right"/>
    </xf>
    <xf numFmtId="9" fontId="58" fillId="0" borderId="29" xfId="2" applyFont="1" applyBorder="1" applyAlignment="1">
      <alignment horizontal="right"/>
    </xf>
    <xf numFmtId="9" fontId="58" fillId="12" borderId="8" xfId="0" applyNumberFormat="1" applyFont="1" applyFill="1" applyBorder="1" applyAlignment="1">
      <alignment horizontal="right"/>
    </xf>
    <xf numFmtId="0" fontId="56" fillId="2" borderId="1" xfId="0" applyFont="1" applyFill="1" applyBorder="1" applyAlignment="1">
      <alignment horizontal="left"/>
    </xf>
    <xf numFmtId="0" fontId="56" fillId="2" borderId="11" xfId="0" applyFont="1" applyFill="1" applyBorder="1" applyAlignment="1">
      <alignment horizontal="left"/>
    </xf>
    <xf numFmtId="0" fontId="58" fillId="0" borderId="3" xfId="0" applyFont="1" applyBorder="1" applyAlignment="1">
      <alignment horizontal="left"/>
    </xf>
    <xf numFmtId="0" fontId="58" fillId="0" borderId="4" xfId="0" applyFont="1" applyBorder="1" applyAlignment="1">
      <alignment horizontal="left"/>
    </xf>
    <xf numFmtId="0" fontId="0" fillId="0" borderId="12" xfId="0" applyBorder="1" applyAlignment="1">
      <alignment horizontal="left"/>
    </xf>
    <xf numFmtId="0" fontId="1" fillId="0" borderId="13" xfId="0" applyFont="1" applyBorder="1" applyAlignment="1">
      <alignment horizontal="left"/>
    </xf>
    <xf numFmtId="0" fontId="0" fillId="0" borderId="23" xfId="0" applyBorder="1" applyAlignment="1">
      <alignment horizontal="left"/>
    </xf>
    <xf numFmtId="0" fontId="1" fillId="0" borderId="24" xfId="0" applyFont="1" applyBorder="1" applyAlignment="1">
      <alignment horizontal="left"/>
    </xf>
    <xf numFmtId="0" fontId="0" fillId="0" borderId="3" xfId="0" applyBorder="1" applyAlignment="1">
      <alignment horizontal="left"/>
    </xf>
    <xf numFmtId="0" fontId="1" fillId="0" borderId="4" xfId="0" applyFont="1" applyBorder="1" applyAlignment="1">
      <alignment horizontal="left"/>
    </xf>
    <xf numFmtId="0" fontId="58" fillId="0" borderId="3" xfId="0" applyFont="1" applyBorder="1" applyAlignment="1">
      <alignment horizontal="left" indent="1"/>
    </xf>
    <xf numFmtId="0" fontId="58" fillId="0" borderId="4" xfId="0" applyFont="1" applyBorder="1" applyAlignment="1">
      <alignment horizontal="left" indent="1"/>
    </xf>
    <xf numFmtId="0" fontId="59" fillId="0" borderId="3" xfId="0" applyFont="1" applyBorder="1" applyAlignment="1">
      <alignment horizontal="left" indent="1"/>
    </xf>
    <xf numFmtId="0" fontId="59" fillId="0" borderId="4" xfId="0" applyFont="1" applyBorder="1" applyAlignment="1">
      <alignment horizontal="left" indent="1"/>
    </xf>
    <xf numFmtId="0" fontId="58" fillId="0" borderId="23" xfId="0" applyFont="1" applyBorder="1" applyAlignment="1">
      <alignment horizontal="left"/>
    </xf>
    <xf numFmtId="0" fontId="58" fillId="0" borderId="24" xfId="0" applyFont="1" applyBorder="1" applyAlignment="1">
      <alignment horizontal="left"/>
    </xf>
    <xf numFmtId="0" fontId="59" fillId="0" borderId="12" xfId="0" applyFont="1" applyBorder="1" applyAlignment="1">
      <alignment horizontal="left"/>
    </xf>
    <xf numFmtId="0" fontId="59" fillId="0" borderId="13" xfId="0" applyFont="1" applyBorder="1" applyAlignment="1">
      <alignment horizontal="left"/>
    </xf>
    <xf numFmtId="0" fontId="61" fillId="0" borderId="23" xfId="0" applyFont="1" applyBorder="1" applyAlignment="1">
      <alignment horizontal="left"/>
    </xf>
    <xf numFmtId="0" fontId="61" fillId="0" borderId="24" xfId="0" applyFont="1" applyBorder="1" applyAlignment="1">
      <alignment horizontal="left"/>
    </xf>
    <xf numFmtId="0" fontId="59" fillId="0" borderId="12" xfId="0" applyFont="1" applyBorder="1" applyAlignment="1">
      <alignment horizontal="left" indent="2"/>
    </xf>
    <xf numFmtId="0" fontId="59" fillId="0" borderId="13" xfId="0" applyFont="1" applyBorder="1" applyAlignment="1">
      <alignment horizontal="left" indent="2"/>
    </xf>
    <xf numFmtId="0" fontId="56" fillId="2" borderId="3" xfId="0" applyFont="1" applyFill="1" applyBorder="1" applyAlignment="1">
      <alignment horizontal="left"/>
    </xf>
    <xf numFmtId="0" fontId="56" fillId="2" borderId="4" xfId="0" applyFont="1" applyFill="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58" fillId="0" borderId="3" xfId="0" applyFont="1" applyBorder="1" applyAlignment="1">
      <alignment horizontal="left" indent="2"/>
    </xf>
    <xf numFmtId="0" fontId="58" fillId="0" borderId="4" xfId="0" applyFont="1" applyBorder="1" applyAlignment="1">
      <alignment horizontal="left" indent="2"/>
    </xf>
    <xf numFmtId="0" fontId="58" fillId="0" borderId="3" xfId="0" applyFont="1" applyBorder="1" applyAlignment="1">
      <alignment horizontal="left" indent="5"/>
    </xf>
    <xf numFmtId="0" fontId="58" fillId="0" borderId="4" xfId="0" applyFont="1" applyBorder="1" applyAlignment="1">
      <alignment horizontal="left" indent="5"/>
    </xf>
    <xf numFmtId="0" fontId="59" fillId="0" borderId="3" xfId="0" applyFont="1" applyBorder="1" applyAlignment="1">
      <alignment horizontal="left" indent="3"/>
    </xf>
    <xf numFmtId="0" fontId="59" fillId="0" borderId="4" xfId="0" applyFont="1" applyBorder="1" applyAlignment="1">
      <alignment horizontal="left" indent="3"/>
    </xf>
    <xf numFmtId="0" fontId="58" fillId="0" borderId="3" xfId="0" applyFont="1" applyBorder="1" applyAlignment="1">
      <alignment horizontal="left" indent="4"/>
    </xf>
    <xf numFmtId="0" fontId="58" fillId="0" borderId="4" xfId="0" applyFont="1" applyBorder="1" applyAlignment="1">
      <alignment horizontal="left" indent="4"/>
    </xf>
    <xf numFmtId="0" fontId="57" fillId="2" borderId="3" xfId="0" applyFont="1" applyFill="1" applyBorder="1" applyAlignment="1">
      <alignment horizontal="left"/>
    </xf>
    <xf numFmtId="0" fontId="57" fillId="2" borderId="4" xfId="0" applyFont="1" applyFill="1" applyBorder="1" applyAlignment="1">
      <alignment horizontal="left"/>
    </xf>
    <xf numFmtId="0" fontId="57" fillId="0" borderId="4" xfId="0" applyFont="1" applyBorder="1" applyAlignment="1">
      <alignment horizontal="center" wrapText="1"/>
    </xf>
    <xf numFmtId="0" fontId="59" fillId="0" borderId="6" xfId="0" applyFont="1" applyBorder="1" applyAlignment="1">
      <alignment horizontal="left" indent="2"/>
    </xf>
    <xf numFmtId="0" fontId="59" fillId="0" borderId="10" xfId="0" applyFont="1" applyBorder="1" applyAlignment="1">
      <alignment horizontal="left" indent="2"/>
    </xf>
    <xf numFmtId="0" fontId="59" fillId="0" borderId="3" xfId="0" applyFont="1" applyBorder="1" applyAlignment="1">
      <alignment horizontal="left" indent="2"/>
    </xf>
    <xf numFmtId="0" fontId="59" fillId="0" borderId="4" xfId="0" applyFont="1" applyBorder="1" applyAlignment="1">
      <alignment horizontal="left" indent="2"/>
    </xf>
    <xf numFmtId="0" fontId="58" fillId="0" borderId="3" xfId="3" applyFont="1" applyBorder="1" applyAlignment="1">
      <alignment horizontal="left" vertical="top"/>
    </xf>
    <xf numFmtId="0" fontId="58" fillId="0" borderId="4" xfId="3" applyFont="1" applyBorder="1" applyAlignment="1">
      <alignment horizontal="left" vertical="top"/>
    </xf>
    <xf numFmtId="0" fontId="59" fillId="0" borderId="3" xfId="0" applyFont="1" applyBorder="1" applyAlignment="1">
      <alignment horizontal="left"/>
    </xf>
    <xf numFmtId="0" fontId="59" fillId="0" borderId="4" xfId="0" applyFont="1" applyBorder="1" applyAlignment="1">
      <alignment horizontal="left"/>
    </xf>
    <xf numFmtId="0" fontId="58" fillId="11" borderId="23" xfId="0" applyFont="1" applyFill="1" applyBorder="1" applyAlignment="1">
      <alignment horizontal="left"/>
    </xf>
    <xf numFmtId="0" fontId="58" fillId="11" borderId="24" xfId="0" applyFont="1" applyFill="1" applyBorder="1" applyAlignment="1">
      <alignment horizontal="left"/>
    </xf>
    <xf numFmtId="0" fontId="58" fillId="11" borderId="12" xfId="0" applyFont="1" applyFill="1" applyBorder="1" applyAlignment="1">
      <alignment horizontal="left"/>
    </xf>
    <xf numFmtId="0" fontId="58" fillId="11" borderId="13" xfId="0" applyFont="1" applyFill="1" applyBorder="1" applyAlignment="1">
      <alignment horizontal="left"/>
    </xf>
    <xf numFmtId="0" fontId="58" fillId="0" borderId="6" xfId="0" applyFont="1" applyBorder="1" applyAlignment="1">
      <alignment horizontal="left"/>
    </xf>
    <xf numFmtId="0" fontId="58" fillId="0" borderId="10" xfId="0" applyFont="1" applyBorder="1" applyAlignment="1">
      <alignment horizontal="left"/>
    </xf>
    <xf numFmtId="0" fontId="4" fillId="0" borderId="2" xfId="0" applyFont="1" applyBorder="1" applyAlignment="1">
      <alignment horizontal="left"/>
    </xf>
    <xf numFmtId="0" fontId="58" fillId="11" borderId="3" xfId="0" applyFont="1" applyFill="1" applyBorder="1" applyAlignment="1">
      <alignment horizontal="left"/>
    </xf>
    <xf numFmtId="0" fontId="58" fillId="11" borderId="4" xfId="0" applyFont="1" applyFill="1" applyBorder="1" applyAlignment="1">
      <alignment horizontal="left"/>
    </xf>
    <xf numFmtId="0" fontId="59" fillId="11" borderId="3" xfId="0" applyFont="1" applyFill="1" applyBorder="1" applyAlignment="1">
      <alignment horizontal="left" indent="1"/>
    </xf>
    <xf numFmtId="0" fontId="59" fillId="11" borderId="4" xfId="0" applyFont="1" applyFill="1" applyBorder="1" applyAlignment="1">
      <alignment horizontal="left" indent="1"/>
    </xf>
    <xf numFmtId="0" fontId="61" fillId="11" borderId="23" xfId="0" applyFont="1" applyFill="1" applyBorder="1" applyAlignment="1">
      <alignment horizontal="left"/>
    </xf>
    <xf numFmtId="0" fontId="61" fillId="11" borderId="24" xfId="0" applyFont="1" applyFill="1" applyBorder="1" applyAlignment="1">
      <alignment horizontal="left"/>
    </xf>
    <xf numFmtId="0" fontId="56" fillId="2" borderId="2" xfId="0" applyFont="1" applyFill="1" applyBorder="1" applyAlignment="1">
      <alignment horizontal="left"/>
    </xf>
  </cellXfs>
  <cellStyles count="336">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 2" xfId="333" xr:uid="{E830FEE5-BF3D-4B9F-89C3-BE51D3EB55EA}"/>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ps 2" xfId="332" xr:uid="{E6BF08FD-99B4-4E49-8935-B8E309BE0144}"/>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5" xfId="331" xr:uid="{C5860A2B-F2DD-4D6C-8B91-584D6ED375E4}"/>
    <cellStyle name="Heading No Underline" xfId="203" xr:uid="{00000000-0005-0000-0000-0000C7000000}"/>
    <cellStyle name="Heading With Underline" xfId="204" xr:uid="{00000000-0005-0000-0000-0000C8000000}"/>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0" xr:uid="{401671C4-C6A2-4732-BC1D-7DED4CDB8213}"/>
    <cellStyle name="Normal 141" xfId="329"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3 2" xfId="334" xr:uid="{F1440C57-A6D8-4BD0-B522-EFC58E8B070F}"/>
    <cellStyle name="Style 4" xfId="311" xr:uid="{00000000-0005-0000-0000-000038010000}"/>
    <cellStyle name="Style 4 2" xfId="335" xr:uid="{F8DD9E7D-3CD1-4B00-B4A6-2016D636B95A}"/>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DD47-4359-993F-738A6F4082E1}"/>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DF68-4354-914A-A2C802971DD8}"/>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1CA7-4FEE-9722-C317B4F14C23}"/>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8564-40DB-B4EA-A843814EA107}"/>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B029-481E-B0AB-5DC7BDE235A7}"/>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4BA0-48AF-8838-79D6183BAC00}"/>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B4A2-4934-BF5F-A1A8B905584E}"/>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F56C-44CE-BB9A-5F8F02391013}"/>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E24A-4D33-B3DF-71F9303E9C68}"/>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F623-4BB7-959F-A1801937E16C}"/>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3BE1-49CA-8A29-D544BA2E000E}"/>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84B2-47B2-AA3D-83299EF3A3CB}"/>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163C-44C1-B993-52EE28BA1415}"/>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8259-4F05-8EEE-E91A87B7A652}"/>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4131-43E2-A264-5AE049A30AD8}"/>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236E-43AF-98ED-898DDBFD6AC0}"/>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4B1A-45AB-9592-503D6F8CC2F7}"/>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EDE4-49FB-8569-5DFC8704B4D5}"/>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E6AB-4CD8-AA16-D59CE8C229AE}"/>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79D8-4DCC-87B0-E1BC4111C5BB}"/>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1900-4B9E-91DD-FAC02C439578}"/>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BCCA-4F88-93E7-02583179AE7A}"/>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25B3-4EC5-915A-AF4FFBF13EF5}"/>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4C8A-4A15-89E9-AD6E459DE515}"/>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E68-41CC-A139-8EDE3E3DF485}"/>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B67-41A8-AFAE-7762FB2A3275}"/>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027F-4779-8AB3-7A6BC2C72CF9}"/>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chart" Target="../charts/chart1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4" Type="http://schemas.openxmlformats.org/officeDocument/2006/relationships/chart" Target="../charts/chart1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 Id="rId4" Type="http://schemas.openxmlformats.org/officeDocument/2006/relationships/chart" Target="../charts/chart2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xdr:from>
      <xdr:col>1</xdr:col>
      <xdr:colOff>236802</xdr:colOff>
      <xdr:row>38</xdr:row>
      <xdr:rowOff>0</xdr:rowOff>
    </xdr:from>
    <xdr:to>
      <xdr:col>3</xdr:col>
      <xdr:colOff>0</xdr:colOff>
      <xdr:row>38</xdr:row>
      <xdr:rowOff>0</xdr:rowOff>
    </xdr:to>
    <xdr:graphicFrame macro="">
      <xdr:nvGraphicFramePr>
        <xdr:cNvPr id="5" name="Chart 4">
          <a:extLst>
            <a:ext uri="{FF2B5EF4-FFF2-40B4-BE49-F238E27FC236}">
              <a16:creationId xmlns:a16="http://schemas.microsoft.com/office/drawing/2014/main" id="{6B9BA363-6D51-4C5A-8B2C-5A9A03E89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236802</xdr:colOff>
      <xdr:row>3</xdr:row>
      <xdr:rowOff>0</xdr:rowOff>
    </xdr:from>
    <xdr:to>
      <xdr:col>3</xdr:col>
      <xdr:colOff>0</xdr:colOff>
      <xdr:row>3</xdr:row>
      <xdr:rowOff>0</xdr:rowOff>
    </xdr:to>
    <xdr:graphicFrame macro="">
      <xdr:nvGraphicFramePr>
        <xdr:cNvPr id="2" name="Chart 1">
          <a:extLst>
            <a:ext uri="{FF2B5EF4-FFF2-40B4-BE49-F238E27FC236}">
              <a16:creationId xmlns:a16="http://schemas.microsoft.com/office/drawing/2014/main" id="{3F7BABA0-FBC4-4D33-848F-AE0FF281DF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44</xdr:row>
      <xdr:rowOff>0</xdr:rowOff>
    </xdr:from>
    <xdr:to>
      <xdr:col>3</xdr:col>
      <xdr:colOff>0</xdr:colOff>
      <xdr:row>44</xdr:row>
      <xdr:rowOff>0</xdr:rowOff>
    </xdr:to>
    <xdr:graphicFrame macro="">
      <xdr:nvGraphicFramePr>
        <xdr:cNvPr id="3" name="Chart 2">
          <a:extLst>
            <a:ext uri="{FF2B5EF4-FFF2-40B4-BE49-F238E27FC236}">
              <a16:creationId xmlns:a16="http://schemas.microsoft.com/office/drawing/2014/main" id="{F29EC6B1-3BC9-4815-8E99-B4C80B5089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3</xdr:row>
      <xdr:rowOff>0</xdr:rowOff>
    </xdr:from>
    <xdr:to>
      <xdr:col>3</xdr:col>
      <xdr:colOff>0</xdr:colOff>
      <xdr:row>3</xdr:row>
      <xdr:rowOff>0</xdr:rowOff>
    </xdr:to>
    <xdr:graphicFrame macro="">
      <xdr:nvGraphicFramePr>
        <xdr:cNvPr id="4" name="Chart 3">
          <a:extLst>
            <a:ext uri="{FF2B5EF4-FFF2-40B4-BE49-F238E27FC236}">
              <a16:creationId xmlns:a16="http://schemas.microsoft.com/office/drawing/2014/main" id="{BD788BF8-6BD7-4BAF-A6EE-8A291738FD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44</xdr:row>
      <xdr:rowOff>0</xdr:rowOff>
    </xdr:from>
    <xdr:to>
      <xdr:col>3</xdr:col>
      <xdr:colOff>0</xdr:colOff>
      <xdr:row>44</xdr:row>
      <xdr:rowOff>0</xdr:rowOff>
    </xdr:to>
    <xdr:graphicFrame macro="">
      <xdr:nvGraphicFramePr>
        <xdr:cNvPr id="5" name="Chart 4">
          <a:extLst>
            <a:ext uri="{FF2B5EF4-FFF2-40B4-BE49-F238E27FC236}">
              <a16:creationId xmlns:a16="http://schemas.microsoft.com/office/drawing/2014/main" id="{B79B21A9-C7F3-4056-A036-93DE8BF661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236802</xdr:colOff>
      <xdr:row>3</xdr:row>
      <xdr:rowOff>0</xdr:rowOff>
    </xdr:from>
    <xdr:to>
      <xdr:col>3</xdr:col>
      <xdr:colOff>0</xdr:colOff>
      <xdr:row>3</xdr:row>
      <xdr:rowOff>0</xdr:rowOff>
    </xdr:to>
    <xdr:graphicFrame macro="">
      <xdr:nvGraphicFramePr>
        <xdr:cNvPr id="2" name="Chart 1">
          <a:extLst>
            <a:ext uri="{FF2B5EF4-FFF2-40B4-BE49-F238E27FC236}">
              <a16:creationId xmlns:a16="http://schemas.microsoft.com/office/drawing/2014/main" id="{F0A0F0E0-30C2-4562-9720-3E1700E742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50</xdr:row>
      <xdr:rowOff>0</xdr:rowOff>
    </xdr:from>
    <xdr:to>
      <xdr:col>3</xdr:col>
      <xdr:colOff>0</xdr:colOff>
      <xdr:row>50</xdr:row>
      <xdr:rowOff>0</xdr:rowOff>
    </xdr:to>
    <xdr:graphicFrame macro="">
      <xdr:nvGraphicFramePr>
        <xdr:cNvPr id="3" name="Chart 2">
          <a:extLst>
            <a:ext uri="{FF2B5EF4-FFF2-40B4-BE49-F238E27FC236}">
              <a16:creationId xmlns:a16="http://schemas.microsoft.com/office/drawing/2014/main" id="{2F936734-8D3F-40BF-B885-0EBE340FDD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3</xdr:row>
      <xdr:rowOff>0</xdr:rowOff>
    </xdr:from>
    <xdr:to>
      <xdr:col>3</xdr:col>
      <xdr:colOff>0</xdr:colOff>
      <xdr:row>3</xdr:row>
      <xdr:rowOff>0</xdr:rowOff>
    </xdr:to>
    <xdr:graphicFrame macro="">
      <xdr:nvGraphicFramePr>
        <xdr:cNvPr id="4" name="Chart 3">
          <a:extLst>
            <a:ext uri="{FF2B5EF4-FFF2-40B4-BE49-F238E27FC236}">
              <a16:creationId xmlns:a16="http://schemas.microsoft.com/office/drawing/2014/main" id="{F00858EE-95A0-4852-BEF0-4C8C52E716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50</xdr:row>
      <xdr:rowOff>0</xdr:rowOff>
    </xdr:from>
    <xdr:to>
      <xdr:col>3</xdr:col>
      <xdr:colOff>0</xdr:colOff>
      <xdr:row>50</xdr:row>
      <xdr:rowOff>0</xdr:rowOff>
    </xdr:to>
    <xdr:graphicFrame macro="">
      <xdr:nvGraphicFramePr>
        <xdr:cNvPr id="5" name="Chart 4">
          <a:extLst>
            <a:ext uri="{FF2B5EF4-FFF2-40B4-BE49-F238E27FC236}">
              <a16:creationId xmlns:a16="http://schemas.microsoft.com/office/drawing/2014/main" id="{BE7E6B64-717A-4BFD-A689-100105AB43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236802</xdr:colOff>
      <xdr:row>38</xdr:row>
      <xdr:rowOff>0</xdr:rowOff>
    </xdr:from>
    <xdr:to>
      <xdr:col>3</xdr:col>
      <xdr:colOff>0</xdr:colOff>
      <xdr:row>38</xdr:row>
      <xdr:rowOff>0</xdr:rowOff>
    </xdr:to>
    <xdr:graphicFrame macro="">
      <xdr:nvGraphicFramePr>
        <xdr:cNvPr id="2" name="Chart 1">
          <a:extLst>
            <a:ext uri="{FF2B5EF4-FFF2-40B4-BE49-F238E27FC236}">
              <a16:creationId xmlns:a16="http://schemas.microsoft.com/office/drawing/2014/main" id="{1A7E9AF6-1AB2-4372-848D-BEA7064D7C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236802</xdr:colOff>
      <xdr:row>3</xdr:row>
      <xdr:rowOff>0</xdr:rowOff>
    </xdr:from>
    <xdr:to>
      <xdr:col>3</xdr:col>
      <xdr:colOff>0</xdr:colOff>
      <xdr:row>3</xdr:row>
      <xdr:rowOff>0</xdr:rowOff>
    </xdr:to>
    <xdr:graphicFrame macro="">
      <xdr:nvGraphicFramePr>
        <xdr:cNvPr id="2" name="Chart 1">
          <a:extLst>
            <a:ext uri="{FF2B5EF4-FFF2-40B4-BE49-F238E27FC236}">
              <a16:creationId xmlns:a16="http://schemas.microsoft.com/office/drawing/2014/main" id="{89F0CC13-6010-4F77-992D-25F13670EE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44</xdr:row>
      <xdr:rowOff>0</xdr:rowOff>
    </xdr:from>
    <xdr:to>
      <xdr:col>3</xdr:col>
      <xdr:colOff>0</xdr:colOff>
      <xdr:row>44</xdr:row>
      <xdr:rowOff>0</xdr:rowOff>
    </xdr:to>
    <xdr:graphicFrame macro="">
      <xdr:nvGraphicFramePr>
        <xdr:cNvPr id="3" name="Chart 2">
          <a:extLst>
            <a:ext uri="{FF2B5EF4-FFF2-40B4-BE49-F238E27FC236}">
              <a16:creationId xmlns:a16="http://schemas.microsoft.com/office/drawing/2014/main" id="{6F70573C-54BC-4793-A5C3-4C32D27411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3</xdr:row>
      <xdr:rowOff>0</xdr:rowOff>
    </xdr:from>
    <xdr:to>
      <xdr:col>3</xdr:col>
      <xdr:colOff>0</xdr:colOff>
      <xdr:row>3</xdr:row>
      <xdr:rowOff>0</xdr:rowOff>
    </xdr:to>
    <xdr:graphicFrame macro="">
      <xdr:nvGraphicFramePr>
        <xdr:cNvPr id="4" name="Chart 3">
          <a:extLst>
            <a:ext uri="{FF2B5EF4-FFF2-40B4-BE49-F238E27FC236}">
              <a16:creationId xmlns:a16="http://schemas.microsoft.com/office/drawing/2014/main" id="{3C1C9C38-AB90-4B78-800A-A4A8C5FD8A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44</xdr:row>
      <xdr:rowOff>0</xdr:rowOff>
    </xdr:from>
    <xdr:to>
      <xdr:col>3</xdr:col>
      <xdr:colOff>0</xdr:colOff>
      <xdr:row>44</xdr:row>
      <xdr:rowOff>0</xdr:rowOff>
    </xdr:to>
    <xdr:graphicFrame macro="">
      <xdr:nvGraphicFramePr>
        <xdr:cNvPr id="5" name="Chart 4">
          <a:extLst>
            <a:ext uri="{FF2B5EF4-FFF2-40B4-BE49-F238E27FC236}">
              <a16:creationId xmlns:a16="http://schemas.microsoft.com/office/drawing/2014/main" id="{1C2D26C1-EA72-4ED1-B617-F60C0B5B87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236802</xdr:colOff>
      <xdr:row>3</xdr:row>
      <xdr:rowOff>0</xdr:rowOff>
    </xdr:from>
    <xdr:to>
      <xdr:col>3</xdr:col>
      <xdr:colOff>0</xdr:colOff>
      <xdr:row>3</xdr:row>
      <xdr:rowOff>0</xdr:rowOff>
    </xdr:to>
    <xdr:graphicFrame macro="">
      <xdr:nvGraphicFramePr>
        <xdr:cNvPr id="2" name="Chart 1">
          <a:extLst>
            <a:ext uri="{FF2B5EF4-FFF2-40B4-BE49-F238E27FC236}">
              <a16:creationId xmlns:a16="http://schemas.microsoft.com/office/drawing/2014/main" id="{4104872F-6235-4C6E-BBB6-3AF084A3E3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50</xdr:row>
      <xdr:rowOff>0</xdr:rowOff>
    </xdr:from>
    <xdr:to>
      <xdr:col>3</xdr:col>
      <xdr:colOff>0</xdr:colOff>
      <xdr:row>50</xdr:row>
      <xdr:rowOff>0</xdr:rowOff>
    </xdr:to>
    <xdr:graphicFrame macro="">
      <xdr:nvGraphicFramePr>
        <xdr:cNvPr id="3" name="Chart 2">
          <a:extLst>
            <a:ext uri="{FF2B5EF4-FFF2-40B4-BE49-F238E27FC236}">
              <a16:creationId xmlns:a16="http://schemas.microsoft.com/office/drawing/2014/main" id="{67E05260-8E57-4FB9-8162-E16B5C5B9A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3</xdr:row>
      <xdr:rowOff>0</xdr:rowOff>
    </xdr:from>
    <xdr:to>
      <xdr:col>3</xdr:col>
      <xdr:colOff>0</xdr:colOff>
      <xdr:row>3</xdr:row>
      <xdr:rowOff>0</xdr:rowOff>
    </xdr:to>
    <xdr:graphicFrame macro="">
      <xdr:nvGraphicFramePr>
        <xdr:cNvPr id="4" name="Chart 3">
          <a:extLst>
            <a:ext uri="{FF2B5EF4-FFF2-40B4-BE49-F238E27FC236}">
              <a16:creationId xmlns:a16="http://schemas.microsoft.com/office/drawing/2014/main" id="{B9F6AA36-2CF2-4456-BE5C-B8677A5BA7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50</xdr:row>
      <xdr:rowOff>0</xdr:rowOff>
    </xdr:from>
    <xdr:to>
      <xdr:col>3</xdr:col>
      <xdr:colOff>0</xdr:colOff>
      <xdr:row>50</xdr:row>
      <xdr:rowOff>0</xdr:rowOff>
    </xdr:to>
    <xdr:graphicFrame macro="">
      <xdr:nvGraphicFramePr>
        <xdr:cNvPr id="5" name="Chart 4">
          <a:extLst>
            <a:ext uri="{FF2B5EF4-FFF2-40B4-BE49-F238E27FC236}">
              <a16:creationId xmlns:a16="http://schemas.microsoft.com/office/drawing/2014/main" id="{9AD1293B-FB8E-4828-9D3B-6A0C9B4ECA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236802</xdr:colOff>
      <xdr:row>38</xdr:row>
      <xdr:rowOff>0</xdr:rowOff>
    </xdr:from>
    <xdr:to>
      <xdr:col>3</xdr:col>
      <xdr:colOff>0</xdr:colOff>
      <xdr:row>38</xdr:row>
      <xdr:rowOff>0</xdr:rowOff>
    </xdr:to>
    <xdr:graphicFrame macro="">
      <xdr:nvGraphicFramePr>
        <xdr:cNvPr id="2" name="Chart 1">
          <a:extLst>
            <a:ext uri="{FF2B5EF4-FFF2-40B4-BE49-F238E27FC236}">
              <a16:creationId xmlns:a16="http://schemas.microsoft.com/office/drawing/2014/main" id="{91CE1DE8-2C7E-4CDE-8FF7-EBF92ED3AE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236802</xdr:colOff>
      <xdr:row>3</xdr:row>
      <xdr:rowOff>0</xdr:rowOff>
    </xdr:from>
    <xdr:to>
      <xdr:col>3</xdr:col>
      <xdr:colOff>0</xdr:colOff>
      <xdr:row>3</xdr:row>
      <xdr:rowOff>0</xdr:rowOff>
    </xdr:to>
    <xdr:graphicFrame macro="">
      <xdr:nvGraphicFramePr>
        <xdr:cNvPr id="2" name="Chart 1">
          <a:extLst>
            <a:ext uri="{FF2B5EF4-FFF2-40B4-BE49-F238E27FC236}">
              <a16:creationId xmlns:a16="http://schemas.microsoft.com/office/drawing/2014/main" id="{7C284656-6E02-478C-8311-A9D64D17FA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44</xdr:row>
      <xdr:rowOff>0</xdr:rowOff>
    </xdr:from>
    <xdr:to>
      <xdr:col>3</xdr:col>
      <xdr:colOff>0</xdr:colOff>
      <xdr:row>44</xdr:row>
      <xdr:rowOff>0</xdr:rowOff>
    </xdr:to>
    <xdr:graphicFrame macro="">
      <xdr:nvGraphicFramePr>
        <xdr:cNvPr id="3" name="Chart 2">
          <a:extLst>
            <a:ext uri="{FF2B5EF4-FFF2-40B4-BE49-F238E27FC236}">
              <a16:creationId xmlns:a16="http://schemas.microsoft.com/office/drawing/2014/main" id="{C09B7FCE-2F27-4053-BB42-E1211E209D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3</xdr:row>
      <xdr:rowOff>0</xdr:rowOff>
    </xdr:from>
    <xdr:to>
      <xdr:col>3</xdr:col>
      <xdr:colOff>0</xdr:colOff>
      <xdr:row>3</xdr:row>
      <xdr:rowOff>0</xdr:rowOff>
    </xdr:to>
    <xdr:graphicFrame macro="">
      <xdr:nvGraphicFramePr>
        <xdr:cNvPr id="4" name="Chart 3">
          <a:extLst>
            <a:ext uri="{FF2B5EF4-FFF2-40B4-BE49-F238E27FC236}">
              <a16:creationId xmlns:a16="http://schemas.microsoft.com/office/drawing/2014/main" id="{29F11091-6F88-4402-BC18-797CFC201A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44</xdr:row>
      <xdr:rowOff>0</xdr:rowOff>
    </xdr:from>
    <xdr:to>
      <xdr:col>3</xdr:col>
      <xdr:colOff>0</xdr:colOff>
      <xdr:row>44</xdr:row>
      <xdr:rowOff>0</xdr:rowOff>
    </xdr:to>
    <xdr:graphicFrame macro="">
      <xdr:nvGraphicFramePr>
        <xdr:cNvPr id="5" name="Chart 4">
          <a:extLst>
            <a:ext uri="{FF2B5EF4-FFF2-40B4-BE49-F238E27FC236}">
              <a16:creationId xmlns:a16="http://schemas.microsoft.com/office/drawing/2014/main" id="{9AA05BE1-42C8-495A-94DA-CF06BFE0C0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236802</xdr:colOff>
      <xdr:row>3</xdr:row>
      <xdr:rowOff>0</xdr:rowOff>
    </xdr:from>
    <xdr:to>
      <xdr:col>3</xdr:col>
      <xdr:colOff>0</xdr:colOff>
      <xdr:row>3</xdr:row>
      <xdr:rowOff>0</xdr:rowOff>
    </xdr:to>
    <xdr:graphicFrame macro="">
      <xdr:nvGraphicFramePr>
        <xdr:cNvPr id="2" name="Chart 1">
          <a:extLst>
            <a:ext uri="{FF2B5EF4-FFF2-40B4-BE49-F238E27FC236}">
              <a16:creationId xmlns:a16="http://schemas.microsoft.com/office/drawing/2014/main" id="{5A88C96A-E8DE-4B54-9799-4FB04FFD16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50</xdr:row>
      <xdr:rowOff>0</xdr:rowOff>
    </xdr:from>
    <xdr:to>
      <xdr:col>3</xdr:col>
      <xdr:colOff>0</xdr:colOff>
      <xdr:row>50</xdr:row>
      <xdr:rowOff>0</xdr:rowOff>
    </xdr:to>
    <xdr:graphicFrame macro="">
      <xdr:nvGraphicFramePr>
        <xdr:cNvPr id="3" name="Chart 2">
          <a:extLst>
            <a:ext uri="{FF2B5EF4-FFF2-40B4-BE49-F238E27FC236}">
              <a16:creationId xmlns:a16="http://schemas.microsoft.com/office/drawing/2014/main" id="{0FB231CF-435D-419A-BE92-62FF2EDD1C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3</xdr:row>
      <xdr:rowOff>0</xdr:rowOff>
    </xdr:from>
    <xdr:to>
      <xdr:col>3</xdr:col>
      <xdr:colOff>0</xdr:colOff>
      <xdr:row>3</xdr:row>
      <xdr:rowOff>0</xdr:rowOff>
    </xdr:to>
    <xdr:graphicFrame macro="">
      <xdr:nvGraphicFramePr>
        <xdr:cNvPr id="4" name="Chart 3">
          <a:extLst>
            <a:ext uri="{FF2B5EF4-FFF2-40B4-BE49-F238E27FC236}">
              <a16:creationId xmlns:a16="http://schemas.microsoft.com/office/drawing/2014/main" id="{4EB58703-FA8D-4272-B3CA-2F487BFE1B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50</xdr:row>
      <xdr:rowOff>0</xdr:rowOff>
    </xdr:from>
    <xdr:to>
      <xdr:col>3</xdr:col>
      <xdr:colOff>0</xdr:colOff>
      <xdr:row>50</xdr:row>
      <xdr:rowOff>0</xdr:rowOff>
    </xdr:to>
    <xdr:graphicFrame macro="">
      <xdr:nvGraphicFramePr>
        <xdr:cNvPr id="5" name="Chart 4">
          <a:extLst>
            <a:ext uri="{FF2B5EF4-FFF2-40B4-BE49-F238E27FC236}">
              <a16:creationId xmlns:a16="http://schemas.microsoft.com/office/drawing/2014/main" id="{999E43A8-5D31-4AEB-9612-880F13133D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BA3A6-E715-416D-A73C-2EF0D0FA94F1}">
  <sheetPr>
    <tabColor theme="3" tint="0.79998168889431442"/>
    <pageSetUpPr fitToPage="1"/>
  </sheetPr>
  <dimension ref="A1:AV316"/>
  <sheetViews>
    <sheetView showGridLines="0" tabSelected="1" zoomScaleNormal="100" workbookViewId="0">
      <pane xSplit="3" ySplit="4" topLeftCell="AA130" activePane="bottomRight" state="frozen"/>
      <selection activeCell="B24" sqref="B24:C24"/>
      <selection pane="topRight" activeCell="B24" sqref="B24:C24"/>
      <selection pane="bottomLeft" activeCell="B24" sqref="B24:C24"/>
      <selection pane="bottomRight" activeCell="B3" sqref="B3:C3"/>
    </sheetView>
  </sheetViews>
  <sheetFormatPr defaultColWidth="8.88671875" defaultRowHeight="14.4" outlineLevelRow="1" outlineLevelCol="1" x14ac:dyDescent="0.3"/>
  <cols>
    <col min="1" max="1" width="2" style="2" customWidth="1"/>
    <col min="2" max="2" width="39" style="2" customWidth="1"/>
    <col min="3" max="3" width="11.77734375" style="2" customWidth="1"/>
    <col min="4" max="5" width="11.5546875" style="1" customWidth="1" outlineLevel="1"/>
    <col min="6" max="7" width="11.5546875" style="3" customWidth="1" outlineLevel="1"/>
    <col min="8" max="8" width="11.5546875" style="3" customWidth="1"/>
    <col min="9" max="10" width="11.5546875" style="1" customWidth="1" outlineLevel="1"/>
    <col min="11" max="12" width="11.5546875" style="3" customWidth="1" outlineLevel="1"/>
    <col min="13" max="13" width="11.5546875" style="3" customWidth="1"/>
    <col min="14" max="15" width="11.5546875" style="1" customWidth="1" outlineLevel="1"/>
    <col min="16" max="17" width="11.5546875" style="3" customWidth="1" outlineLevel="1"/>
    <col min="18" max="18" width="11.5546875" style="3" customWidth="1"/>
    <col min="19" max="20" width="11.5546875" style="1" customWidth="1" outlineLevel="1"/>
    <col min="21" max="22" width="11.5546875" style="3" customWidth="1" outlineLevel="1"/>
    <col min="23" max="23" width="11.5546875" style="3" customWidth="1"/>
    <col min="24" max="25" width="11.5546875" style="1" customWidth="1" outlineLevel="1"/>
    <col min="26" max="27" width="11.5546875" style="3" customWidth="1" outlineLevel="1"/>
    <col min="28" max="28" width="11.5546875" style="3" customWidth="1"/>
    <col min="29" max="30" width="11.5546875" style="1" customWidth="1" outlineLevel="1"/>
    <col min="31" max="32" width="11.5546875" style="3" customWidth="1" outlineLevel="1"/>
    <col min="33" max="33" width="11.5546875" style="3" customWidth="1"/>
    <col min="34" max="35" width="11.5546875" style="1" customWidth="1" outlineLevel="1"/>
    <col min="36" max="37" width="11.5546875" style="3" customWidth="1" outlineLevel="1"/>
    <col min="38" max="38" width="11.5546875" style="3" customWidth="1"/>
    <col min="39" max="40" width="11.5546875" style="1" customWidth="1" outlineLevel="1"/>
    <col min="41" max="42" width="11.5546875" style="3" customWidth="1" outlineLevel="1"/>
    <col min="43" max="43" width="11.5546875" style="3" customWidth="1"/>
    <col min="44" max="45" width="11.5546875" style="1" customWidth="1" outlineLevel="1"/>
    <col min="46" max="47" width="11.5546875" style="3" customWidth="1" outlineLevel="1"/>
    <col min="48" max="48" width="11.5546875" style="3" customWidth="1"/>
    <col min="49" max="16384" width="8.88671875" style="2"/>
  </cols>
  <sheetData>
    <row r="1" spans="1:48" ht="16.2" customHeight="1" x14ac:dyDescent="0.3">
      <c r="B1" s="237" t="s">
        <v>210</v>
      </c>
      <c r="C1" s="370"/>
      <c r="D1" s="45"/>
      <c r="E1" s="149"/>
      <c r="F1" s="149"/>
      <c r="G1" s="149"/>
      <c r="H1" s="149"/>
      <c r="I1" s="369"/>
      <c r="J1" s="369"/>
      <c r="K1" s="369"/>
      <c r="L1" s="369"/>
      <c r="M1" s="369"/>
      <c r="N1" s="369"/>
      <c r="O1" s="369"/>
      <c r="P1" s="369"/>
      <c r="Q1" s="369"/>
      <c r="R1" s="369"/>
      <c r="S1" s="369"/>
      <c r="T1" s="369"/>
      <c r="U1" s="369"/>
      <c r="V1" s="369"/>
      <c r="W1" s="373"/>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row>
    <row r="2" spans="1:48" ht="9.3000000000000007" customHeight="1" x14ac:dyDescent="0.3">
      <c r="B2" s="99"/>
      <c r="C2" s="370"/>
      <c r="D2" s="45"/>
      <c r="E2" s="149"/>
      <c r="F2" s="149"/>
      <c r="G2" s="149"/>
      <c r="H2" s="149"/>
      <c r="I2" s="369"/>
      <c r="J2" s="369"/>
      <c r="K2" s="369"/>
      <c r="L2" s="369"/>
      <c r="M2" s="369"/>
      <c r="N2" s="369"/>
      <c r="O2" s="369"/>
      <c r="P2" s="369"/>
      <c r="Q2" s="369"/>
      <c r="R2" s="369"/>
      <c r="S2" s="369"/>
      <c r="T2" s="369"/>
      <c r="U2" s="373"/>
      <c r="V2" s="385"/>
      <c r="W2" s="385"/>
      <c r="X2" s="385"/>
      <c r="Y2" s="385"/>
      <c r="Z2" s="385"/>
      <c r="AA2" s="385"/>
      <c r="AB2" s="369"/>
      <c r="AC2" s="369"/>
      <c r="AD2" s="369"/>
      <c r="AE2" s="369"/>
      <c r="AF2" s="369"/>
      <c r="AG2" s="389"/>
      <c r="AH2" s="391"/>
      <c r="AI2" s="369"/>
      <c r="AJ2" s="369"/>
      <c r="AK2" s="369"/>
      <c r="AL2" s="389"/>
      <c r="AM2" s="391"/>
      <c r="AN2" s="369"/>
      <c r="AO2" s="369"/>
      <c r="AP2" s="369"/>
      <c r="AQ2" s="369"/>
      <c r="AR2" s="369"/>
      <c r="AS2" s="369"/>
      <c r="AT2" s="369"/>
      <c r="AU2" s="369"/>
      <c r="AV2" s="369"/>
    </row>
    <row r="3" spans="1:48" ht="15.6" x14ac:dyDescent="0.3">
      <c r="A3" s="469"/>
      <c r="B3" s="433" t="s">
        <v>18</v>
      </c>
      <c r="C3" s="434"/>
      <c r="D3" s="13" t="s">
        <v>15</v>
      </c>
      <c r="E3" s="13" t="s">
        <v>82</v>
      </c>
      <c r="F3" s="13" t="s">
        <v>84</v>
      </c>
      <c r="G3" s="13" t="s">
        <v>147</v>
      </c>
      <c r="H3" s="39" t="s">
        <v>147</v>
      </c>
      <c r="I3" s="13" t="s">
        <v>146</v>
      </c>
      <c r="J3" s="13" t="s">
        <v>145</v>
      </c>
      <c r="K3" s="13" t="s">
        <v>144</v>
      </c>
      <c r="L3" s="13" t="s">
        <v>141</v>
      </c>
      <c r="M3" s="39" t="s">
        <v>141</v>
      </c>
      <c r="N3" s="13" t="s">
        <v>148</v>
      </c>
      <c r="O3" s="13" t="s">
        <v>156</v>
      </c>
      <c r="P3" s="13" t="s">
        <v>158</v>
      </c>
      <c r="Q3" s="13" t="s">
        <v>171</v>
      </c>
      <c r="R3" s="39" t="s">
        <v>171</v>
      </c>
      <c r="S3" s="13" t="s">
        <v>187</v>
      </c>
      <c r="T3" s="13" t="s">
        <v>190</v>
      </c>
      <c r="U3" s="13" t="s">
        <v>203</v>
      </c>
      <c r="V3" s="15" t="s">
        <v>20</v>
      </c>
      <c r="W3" s="41" t="s">
        <v>20</v>
      </c>
      <c r="X3" s="15" t="s">
        <v>21</v>
      </c>
      <c r="Y3" s="15" t="s">
        <v>22</v>
      </c>
      <c r="Z3" s="15" t="s">
        <v>23</v>
      </c>
      <c r="AA3" s="15" t="s">
        <v>24</v>
      </c>
      <c r="AB3" s="41" t="s">
        <v>24</v>
      </c>
      <c r="AC3" s="15" t="s">
        <v>86</v>
      </c>
      <c r="AD3" s="15" t="s">
        <v>87</v>
      </c>
      <c r="AE3" s="15" t="s">
        <v>88</v>
      </c>
      <c r="AF3" s="15" t="s">
        <v>89</v>
      </c>
      <c r="AG3" s="41" t="s">
        <v>89</v>
      </c>
      <c r="AH3" s="15" t="s">
        <v>105</v>
      </c>
      <c r="AI3" s="15" t="s">
        <v>106</v>
      </c>
      <c r="AJ3" s="15" t="s">
        <v>107</v>
      </c>
      <c r="AK3" s="15" t="s">
        <v>108</v>
      </c>
      <c r="AL3" s="41" t="s">
        <v>108</v>
      </c>
      <c r="AM3" s="15" t="s">
        <v>160</v>
      </c>
      <c r="AN3" s="15" t="s">
        <v>161</v>
      </c>
      <c r="AO3" s="15" t="s">
        <v>162</v>
      </c>
      <c r="AP3" s="15" t="s">
        <v>163</v>
      </c>
      <c r="AQ3" s="41" t="s">
        <v>163</v>
      </c>
      <c r="AR3" s="15" t="s">
        <v>191</v>
      </c>
      <c r="AS3" s="15" t="s">
        <v>192</v>
      </c>
      <c r="AT3" s="15" t="s">
        <v>193</v>
      </c>
      <c r="AU3" s="15" t="s">
        <v>194</v>
      </c>
      <c r="AV3" s="41" t="s">
        <v>194</v>
      </c>
    </row>
    <row r="4" spans="1:48" ht="17.55" customHeight="1" x14ac:dyDescent="0.45">
      <c r="A4" s="469"/>
      <c r="B4" s="467" t="s">
        <v>3</v>
      </c>
      <c r="C4" s="468"/>
      <c r="D4" s="14" t="s">
        <v>19</v>
      </c>
      <c r="E4" s="14" t="s">
        <v>81</v>
      </c>
      <c r="F4" s="14" t="s">
        <v>85</v>
      </c>
      <c r="G4" s="14" t="s">
        <v>95</v>
      </c>
      <c r="H4" s="40" t="s">
        <v>96</v>
      </c>
      <c r="I4" s="14" t="s">
        <v>97</v>
      </c>
      <c r="J4" s="14" t="s">
        <v>98</v>
      </c>
      <c r="K4" s="14" t="s">
        <v>99</v>
      </c>
      <c r="L4" s="14" t="s">
        <v>142</v>
      </c>
      <c r="M4" s="40" t="s">
        <v>143</v>
      </c>
      <c r="N4" s="14" t="s">
        <v>149</v>
      </c>
      <c r="O4" s="14" t="s">
        <v>157</v>
      </c>
      <c r="P4" s="14" t="s">
        <v>159</v>
      </c>
      <c r="Q4" s="14" t="s">
        <v>172</v>
      </c>
      <c r="R4" s="40" t="s">
        <v>173</v>
      </c>
      <c r="S4" s="14" t="s">
        <v>188</v>
      </c>
      <c r="T4" s="14" t="s">
        <v>189</v>
      </c>
      <c r="U4" s="14" t="s">
        <v>204</v>
      </c>
      <c r="V4" s="12" t="s">
        <v>25</v>
      </c>
      <c r="W4" s="42" t="s">
        <v>26</v>
      </c>
      <c r="X4" s="12" t="s">
        <v>27</v>
      </c>
      <c r="Y4" s="12" t="s">
        <v>28</v>
      </c>
      <c r="Z4" s="12" t="s">
        <v>29</v>
      </c>
      <c r="AA4" s="12" t="s">
        <v>30</v>
      </c>
      <c r="AB4" s="42" t="s">
        <v>31</v>
      </c>
      <c r="AC4" s="12" t="s">
        <v>90</v>
      </c>
      <c r="AD4" s="12" t="s">
        <v>91</v>
      </c>
      <c r="AE4" s="12" t="s">
        <v>92</v>
      </c>
      <c r="AF4" s="12" t="s">
        <v>93</v>
      </c>
      <c r="AG4" s="42" t="s">
        <v>94</v>
      </c>
      <c r="AH4" s="12" t="s">
        <v>109</v>
      </c>
      <c r="AI4" s="12" t="s">
        <v>110</v>
      </c>
      <c r="AJ4" s="12" t="s">
        <v>111</v>
      </c>
      <c r="AK4" s="12" t="s">
        <v>112</v>
      </c>
      <c r="AL4" s="42" t="s">
        <v>113</v>
      </c>
      <c r="AM4" s="12" t="s">
        <v>164</v>
      </c>
      <c r="AN4" s="12" t="s">
        <v>165</v>
      </c>
      <c r="AO4" s="12" t="s">
        <v>166</v>
      </c>
      <c r="AP4" s="12" t="s">
        <v>167</v>
      </c>
      <c r="AQ4" s="42" t="s">
        <v>168</v>
      </c>
      <c r="AR4" s="12" t="s">
        <v>195</v>
      </c>
      <c r="AS4" s="12" t="s">
        <v>196</v>
      </c>
      <c r="AT4" s="12" t="s">
        <v>197</v>
      </c>
      <c r="AU4" s="12" t="s">
        <v>198</v>
      </c>
      <c r="AV4" s="42" t="s">
        <v>199</v>
      </c>
    </row>
    <row r="5" spans="1:48" outlineLevel="1" x14ac:dyDescent="0.3">
      <c r="B5" s="435" t="s">
        <v>101</v>
      </c>
      <c r="C5" s="436"/>
      <c r="D5" s="105">
        <v>5370.3</v>
      </c>
      <c r="E5" s="105">
        <v>5159</v>
      </c>
      <c r="F5" s="105">
        <v>5535</v>
      </c>
      <c r="G5" s="105">
        <f>H5-F5-E5-D5</f>
        <v>5480.1000000000013</v>
      </c>
      <c r="H5" s="170">
        <v>21544.400000000001</v>
      </c>
      <c r="I5" s="105">
        <v>5780.7</v>
      </c>
      <c r="J5" s="105">
        <v>4766</v>
      </c>
      <c r="K5" s="105">
        <v>3444.4</v>
      </c>
      <c r="L5" s="105">
        <v>5173.6000000000004</v>
      </c>
      <c r="M5" s="49">
        <f>SUM(I5:L5)</f>
        <v>19164.7</v>
      </c>
      <c r="N5" s="48">
        <v>5726.5</v>
      </c>
      <c r="O5" s="48">
        <v>5653.1</v>
      </c>
      <c r="P5" s="48">
        <v>6363.1</v>
      </c>
      <c r="Q5" s="105">
        <v>6864.3</v>
      </c>
      <c r="R5" s="49">
        <f>SUM(N5:Q5)</f>
        <v>24607</v>
      </c>
      <c r="S5" s="48">
        <v>6722.4</v>
      </c>
      <c r="T5" s="48">
        <v>6276.7</v>
      </c>
      <c r="U5" s="48">
        <v>6675.5</v>
      </c>
      <c r="V5" s="48">
        <f>+V45+V78</f>
        <v>6848.8037658907733</v>
      </c>
      <c r="W5" s="49">
        <f>SUM(S5:V5)</f>
        <v>26523.403765890773</v>
      </c>
      <c r="X5" s="48">
        <f>+X45+X78</f>
        <v>7152.5480557286273</v>
      </c>
      <c r="Y5" s="48">
        <f>+Y45+Y78</f>
        <v>6857.4886027854463</v>
      </c>
      <c r="Z5" s="48">
        <f>+Z45+Z78</f>
        <v>7528.1178194557115</v>
      </c>
      <c r="AA5" s="48">
        <f>+AA45+AA78</f>
        <v>7770.5482624277374</v>
      </c>
      <c r="AB5" s="49">
        <f>SUM(X5:AA5)</f>
        <v>29308.702740397523</v>
      </c>
      <c r="AC5" s="48">
        <f>+AC45+AC78</f>
        <v>8082.0653714707933</v>
      </c>
      <c r="AD5" s="48">
        <f>+AD45+AD78</f>
        <v>7528.9186896268975</v>
      </c>
      <c r="AE5" s="48">
        <f>+AE45+AE78</f>
        <v>8269.2690708785849</v>
      </c>
      <c r="AF5" s="48">
        <f>+AF45+AF78</f>
        <v>8567.0384126600347</v>
      </c>
      <c r="AG5" s="49">
        <f>SUM(AC5:AF5)</f>
        <v>32447.291544636311</v>
      </c>
      <c r="AH5" s="48">
        <f>+AH45+AH78</f>
        <v>9031.3509318393244</v>
      </c>
      <c r="AI5" s="48">
        <f>+AI45+AI78</f>
        <v>8408.8147233096352</v>
      </c>
      <c r="AJ5" s="48">
        <f>+AJ45+AJ78</f>
        <v>9240.2278570739163</v>
      </c>
      <c r="AK5" s="48">
        <f>+AK45+AK78</f>
        <v>9596.9517827829623</v>
      </c>
      <c r="AL5" s="49">
        <f>SUM(AH5:AK5)</f>
        <v>36277.345295005834</v>
      </c>
      <c r="AM5" s="48">
        <f>+AM45+AM78</f>
        <v>9951.2465837299314</v>
      </c>
      <c r="AN5" s="48">
        <f>+AN45+AN78</f>
        <v>9227.1137384203721</v>
      </c>
      <c r="AO5" s="48">
        <f>+AO45+AO78</f>
        <v>10109.899554216639</v>
      </c>
      <c r="AP5" s="48">
        <f>+AP45+AP78</f>
        <v>10478.003443959413</v>
      </c>
      <c r="AQ5" s="49">
        <f>SUM(AM5:AP5)</f>
        <v>39766.263320326354</v>
      </c>
      <c r="AR5" s="48">
        <f>+AR45+AR78</f>
        <v>10636.367135749306</v>
      </c>
      <c r="AS5" s="48">
        <f>+AS45+AS78</f>
        <v>9856.9494839221479</v>
      </c>
      <c r="AT5" s="48">
        <f>+AT45+AT78</f>
        <v>10796.256281417584</v>
      </c>
      <c r="AU5" s="48">
        <f>+AU45+AU78</f>
        <v>11190.181518807902</v>
      </c>
      <c r="AV5" s="49">
        <f>SUM(AR5:AU5)</f>
        <v>42479.754419896941</v>
      </c>
    </row>
    <row r="6" spans="1:48" outlineLevel="1" x14ac:dyDescent="0.3">
      <c r="B6" s="435" t="s">
        <v>102</v>
      </c>
      <c r="C6" s="436"/>
      <c r="D6" s="105">
        <v>737.1</v>
      </c>
      <c r="E6" s="105">
        <v>678.2</v>
      </c>
      <c r="F6" s="105">
        <v>725</v>
      </c>
      <c r="G6" s="105">
        <f t="shared" ref="G6:G16" si="0">H6-F6-E6-D6</f>
        <v>734.69999999999993</v>
      </c>
      <c r="H6" s="170">
        <v>2875</v>
      </c>
      <c r="I6" s="105">
        <v>792</v>
      </c>
      <c r="J6" s="105">
        <v>689.8</v>
      </c>
      <c r="K6" s="105">
        <v>300.5</v>
      </c>
      <c r="L6" s="48">
        <v>544.6</v>
      </c>
      <c r="M6" s="49">
        <f t="shared" ref="M6:M7" si="1">SUM(I6:L6)</f>
        <v>2326.9</v>
      </c>
      <c r="N6" s="48">
        <v>613.79999999999995</v>
      </c>
      <c r="O6" s="48">
        <v>595</v>
      </c>
      <c r="P6" s="48">
        <v>680.2</v>
      </c>
      <c r="Q6" s="105">
        <v>794.5</v>
      </c>
      <c r="R6" s="49">
        <f>SUM(N6:Q6)</f>
        <v>2683.5</v>
      </c>
      <c r="S6" s="48">
        <v>850.8</v>
      </c>
      <c r="T6" s="48">
        <v>849.5</v>
      </c>
      <c r="U6" s="48">
        <v>956.8</v>
      </c>
      <c r="V6" s="48">
        <f>+V54+V87</f>
        <v>908.81667302605592</v>
      </c>
      <c r="W6" s="49">
        <f t="shared" ref="W6:W7" si="2">SUM(S6:V6)</f>
        <v>3565.9166730260558</v>
      </c>
      <c r="X6" s="48">
        <f>+X54+X87</f>
        <v>1001.2189702663679</v>
      </c>
      <c r="Y6" s="48">
        <f>+Y54+Y87</f>
        <v>1007.5031116484407</v>
      </c>
      <c r="Z6" s="48">
        <f>+Z54+Z87</f>
        <v>1121.5323392099008</v>
      </c>
      <c r="AA6" s="48">
        <f>+AA54+AA87</f>
        <v>1075.1217785472472</v>
      </c>
      <c r="AB6" s="49">
        <f t="shared" ref="AB6:AB7" si="3">SUM(X6:AA6)</f>
        <v>4205.3761996719568</v>
      </c>
      <c r="AC6" s="48">
        <f>+AC54+AC87</f>
        <v>1115.9362143506919</v>
      </c>
      <c r="AD6" s="48">
        <f>+AD54+AD87</f>
        <v>1123.7600876027257</v>
      </c>
      <c r="AE6" s="48">
        <f>+AE54+AE87</f>
        <v>1253.5437312013921</v>
      </c>
      <c r="AF6" s="48">
        <f>+AF54+AF87</f>
        <v>1202.3100873805458</v>
      </c>
      <c r="AG6" s="49">
        <f t="shared" ref="AG6:AG7" si="4">SUM(AC6:AF6)</f>
        <v>4695.5501205353557</v>
      </c>
      <c r="AH6" s="48">
        <f>+AH54+AH87</f>
        <v>1259.2690223110171</v>
      </c>
      <c r="AI6" s="48">
        <f>+AI54+AI87</f>
        <v>1268.7489718700565</v>
      </c>
      <c r="AJ6" s="48">
        <f>+AJ54+AJ87</f>
        <v>1416.6057338416379</v>
      </c>
      <c r="AK6" s="48">
        <f>+AK54+AK87</f>
        <v>1359.1190710594724</v>
      </c>
      <c r="AL6" s="49">
        <f t="shared" ref="AL6:AL7" si="5">SUM(AH6:AK6)</f>
        <v>5303.7427990821834</v>
      </c>
      <c r="AM6" s="48">
        <f>+AM54+AM87</f>
        <v>1399.5818264463619</v>
      </c>
      <c r="AN6" s="48">
        <f>+AN54+AN87</f>
        <v>1393.6050603962776</v>
      </c>
      <c r="AO6" s="48">
        <f>+AO54+AO87</f>
        <v>1538.7542416120527</v>
      </c>
      <c r="AP6" s="48">
        <f>+AP54+AP87</f>
        <v>1459.1976477696517</v>
      </c>
      <c r="AQ6" s="49">
        <f t="shared" ref="AQ6:AQ7" si="6">SUM(AM6:AP6)</f>
        <v>5791.1387762243439</v>
      </c>
      <c r="AR6" s="48">
        <f>+AR54+AR87</f>
        <v>1465.1062284098773</v>
      </c>
      <c r="AS6" s="48">
        <f>+AS54+AS87</f>
        <v>1458.7938710081207</v>
      </c>
      <c r="AT6" s="48">
        <f>+AT54+AT87</f>
        <v>1610.939227369021</v>
      </c>
      <c r="AU6" s="48">
        <f>+AU54+AU87</f>
        <v>1527.5841436113446</v>
      </c>
      <c r="AV6" s="49">
        <f t="shared" ref="AV6:AV7" si="7">SUM(AR6:AU6)</f>
        <v>6062.4234703983639</v>
      </c>
    </row>
    <row r="7" spans="1:48" ht="16.2" outlineLevel="1" x14ac:dyDescent="0.45">
      <c r="B7" s="435" t="s">
        <v>103</v>
      </c>
      <c r="C7" s="436"/>
      <c r="D7" s="104">
        <v>525.29999999999995</v>
      </c>
      <c r="E7" s="104">
        <v>468.7</v>
      </c>
      <c r="F7" s="104">
        <v>563</v>
      </c>
      <c r="G7" s="104">
        <f t="shared" si="0"/>
        <v>532.19999999999982</v>
      </c>
      <c r="H7" s="173">
        <v>2089.1999999999998</v>
      </c>
      <c r="I7" s="104">
        <v>524.4</v>
      </c>
      <c r="J7" s="104">
        <v>539.9</v>
      </c>
      <c r="K7" s="104">
        <v>477.2</v>
      </c>
      <c r="L7" s="52">
        <v>484.9</v>
      </c>
      <c r="M7" s="53">
        <f t="shared" si="1"/>
        <v>2026.4</v>
      </c>
      <c r="N7" s="52">
        <v>409.1</v>
      </c>
      <c r="O7" s="52">
        <v>419.9</v>
      </c>
      <c r="P7" s="52">
        <v>453.2</v>
      </c>
      <c r="Q7" s="104">
        <v>487.9</v>
      </c>
      <c r="R7" s="53">
        <f>SUM(N7:Q7)</f>
        <v>1770.1</v>
      </c>
      <c r="S7" s="52">
        <v>477.2</v>
      </c>
      <c r="T7" s="52">
        <v>509.4</v>
      </c>
      <c r="U7" s="52">
        <v>517.79999999999995</v>
      </c>
      <c r="V7" s="52">
        <f>+V55+V88+V108+V123</f>
        <v>530.10800000000006</v>
      </c>
      <c r="W7" s="173">
        <f t="shared" si="2"/>
        <v>2034.5079999999998</v>
      </c>
      <c r="X7" s="52">
        <f>+X55+X88+X108+X123</f>
        <v>514.53500000000008</v>
      </c>
      <c r="Y7" s="52">
        <f>+Y55+Y88+Y108+Y123</f>
        <v>527.98200000000008</v>
      </c>
      <c r="Z7" s="52">
        <f>+Z55+Z88+Z108+Z123</f>
        <v>541.15800000000002</v>
      </c>
      <c r="AA7" s="52">
        <f>+AA55+AA88+AA108+AA123</f>
        <v>553.38710000000015</v>
      </c>
      <c r="AB7" s="53">
        <f t="shared" si="3"/>
        <v>2137.0621000000001</v>
      </c>
      <c r="AC7" s="52">
        <f>+AC55+AC88+AC108+AC123</f>
        <v>538.26440000000014</v>
      </c>
      <c r="AD7" s="52">
        <f>+AD55+AD88+AD108+AD123</f>
        <v>552.56346000000008</v>
      </c>
      <c r="AE7" s="52">
        <f>+AE55+AE88+AE108+AE123</f>
        <v>566.17452000000003</v>
      </c>
      <c r="AF7" s="52">
        <f>+AF55+AF88+AF108+AF123</f>
        <v>579.71528800000021</v>
      </c>
      <c r="AG7" s="53">
        <f t="shared" si="4"/>
        <v>2236.7176680000007</v>
      </c>
      <c r="AH7" s="52">
        <f>+AH55+AH88+AH108+AH123</f>
        <v>567.58199600000012</v>
      </c>
      <c r="AI7" s="52">
        <f>+AI55+AI88+AI108+AI123</f>
        <v>580.59704340000019</v>
      </c>
      <c r="AJ7" s="52">
        <f>+AJ55+AJ88+AJ108+AJ123</f>
        <v>593.31856080000011</v>
      </c>
      <c r="AK7" s="52">
        <f>+AK55+AK88+AK108+AK123</f>
        <v>608.49081032000015</v>
      </c>
      <c r="AL7" s="53">
        <f t="shared" si="5"/>
        <v>2349.9884105200008</v>
      </c>
      <c r="AM7" s="52">
        <f>+AM55+AM88+AM108+AM123</f>
        <v>594.36976184000025</v>
      </c>
      <c r="AN7" s="52">
        <f>+AN55+AN88+AN108+AN123</f>
        <v>607.20447663600021</v>
      </c>
      <c r="AO7" s="52">
        <f>+AO55+AO88+AO108+AO123</f>
        <v>620.07958123200001</v>
      </c>
      <c r="AP7" s="52">
        <f>+AP55+AP88+AP108+AP123</f>
        <v>636.60205053280015</v>
      </c>
      <c r="AQ7" s="53">
        <f t="shared" si="6"/>
        <v>2458.2558702408005</v>
      </c>
      <c r="AR7" s="52">
        <f>+AR55+AR88+AR108+AR123</f>
        <v>620.6669569136003</v>
      </c>
      <c r="AS7" s="52">
        <f>+AS55+AS88+AS108+AS123</f>
        <v>633.83488747644026</v>
      </c>
      <c r="AT7" s="52">
        <f>+AT55+AT88+AT108+AT123</f>
        <v>647.37274528128012</v>
      </c>
      <c r="AU7" s="52">
        <f>+AU55+AU88+AU108+AU123</f>
        <v>665.17309938411222</v>
      </c>
      <c r="AV7" s="53">
        <f t="shared" si="7"/>
        <v>2567.0476890554328</v>
      </c>
    </row>
    <row r="8" spans="1:48" s="8" customFormat="1" x14ac:dyDescent="0.3">
      <c r="B8" s="445" t="s">
        <v>104</v>
      </c>
      <c r="C8" s="446"/>
      <c r="D8" s="103">
        <f t="shared" ref="D8:AB8" si="8">SUM(D5:D7)</f>
        <v>6632.7000000000007</v>
      </c>
      <c r="E8" s="103">
        <f t="shared" si="8"/>
        <v>6305.9</v>
      </c>
      <c r="F8" s="103">
        <f t="shared" si="8"/>
        <v>6823</v>
      </c>
      <c r="G8" s="103">
        <f t="shared" si="8"/>
        <v>6747.0000000000009</v>
      </c>
      <c r="H8" s="171">
        <f t="shared" si="8"/>
        <v>26508.600000000002</v>
      </c>
      <c r="I8" s="103">
        <f>SUM(I5:I7)</f>
        <v>7097.0999999999995</v>
      </c>
      <c r="J8" s="103">
        <f>SUM(J5:J7)</f>
        <v>5995.7</v>
      </c>
      <c r="K8" s="103">
        <f>SUM(K5:K7)</f>
        <v>4222.1000000000004</v>
      </c>
      <c r="L8" s="103">
        <f>SUM(L5:L7)</f>
        <v>6203.1</v>
      </c>
      <c r="M8" s="171">
        <f t="shared" si="8"/>
        <v>23518.000000000004</v>
      </c>
      <c r="N8" s="103">
        <f t="shared" si="8"/>
        <v>6749.4000000000005</v>
      </c>
      <c r="O8" s="103">
        <f t="shared" si="8"/>
        <v>6668</v>
      </c>
      <c r="P8" s="103">
        <f t="shared" si="8"/>
        <v>7496.5</v>
      </c>
      <c r="Q8" s="103">
        <f>SUM(Q5:Q7)</f>
        <v>8146.7</v>
      </c>
      <c r="R8" s="171">
        <f t="shared" si="8"/>
        <v>29060.6</v>
      </c>
      <c r="S8" s="103">
        <f t="shared" si="8"/>
        <v>8050.4</v>
      </c>
      <c r="T8" s="103">
        <f t="shared" si="8"/>
        <v>7635.5999999999995</v>
      </c>
      <c r="U8" s="103">
        <f t="shared" si="8"/>
        <v>8150.1</v>
      </c>
      <c r="V8" s="103">
        <f t="shared" si="8"/>
        <v>8287.728438916829</v>
      </c>
      <c r="W8" s="171">
        <f t="shared" si="8"/>
        <v>32123.828438916826</v>
      </c>
      <c r="X8" s="50">
        <f t="shared" si="8"/>
        <v>8668.3020259949953</v>
      </c>
      <c r="Y8" s="50">
        <f t="shared" si="8"/>
        <v>8392.9737144338869</v>
      </c>
      <c r="Z8" s="50">
        <f t="shared" si="8"/>
        <v>9190.8081586656117</v>
      </c>
      <c r="AA8" s="50">
        <f t="shared" si="8"/>
        <v>9399.0571409749846</v>
      </c>
      <c r="AB8" s="171">
        <f t="shared" si="8"/>
        <v>35651.14104006948</v>
      </c>
      <c r="AC8" s="50">
        <f t="shared" ref="AC8:AQ8" si="9">SUM(AC5:AC7)</f>
        <v>9736.2659858214847</v>
      </c>
      <c r="AD8" s="50">
        <f t="shared" si="9"/>
        <v>9205.2422372296223</v>
      </c>
      <c r="AE8" s="50">
        <f t="shared" si="9"/>
        <v>10088.987322079978</v>
      </c>
      <c r="AF8" s="50">
        <f t="shared" si="9"/>
        <v>10349.063788040579</v>
      </c>
      <c r="AG8" s="51">
        <f t="shared" si="9"/>
        <v>39379.559333171666</v>
      </c>
      <c r="AH8" s="50">
        <f t="shared" si="9"/>
        <v>10858.201950150342</v>
      </c>
      <c r="AI8" s="50">
        <f t="shared" si="9"/>
        <v>10258.160738579692</v>
      </c>
      <c r="AJ8" s="50">
        <f t="shared" si="9"/>
        <v>11250.152151715554</v>
      </c>
      <c r="AK8" s="50">
        <f t="shared" si="9"/>
        <v>11564.561664162435</v>
      </c>
      <c r="AL8" s="51">
        <f t="shared" si="9"/>
        <v>43931.07650460802</v>
      </c>
      <c r="AM8" s="50">
        <f t="shared" si="9"/>
        <v>11945.198172016293</v>
      </c>
      <c r="AN8" s="50">
        <f t="shared" si="9"/>
        <v>11227.923275452649</v>
      </c>
      <c r="AO8" s="50">
        <f t="shared" si="9"/>
        <v>12268.733377060691</v>
      </c>
      <c r="AP8" s="50">
        <f t="shared" si="9"/>
        <v>12573.803142261864</v>
      </c>
      <c r="AQ8" s="51">
        <f t="shared" si="9"/>
        <v>48015.657966791499</v>
      </c>
      <c r="AR8" s="50">
        <f t="shared" ref="AR8:AV8" si="10">SUM(AR5:AR7)</f>
        <v>12722.140321072784</v>
      </c>
      <c r="AS8" s="50">
        <f t="shared" si="10"/>
        <v>11949.578242406709</v>
      </c>
      <c r="AT8" s="50">
        <f t="shared" si="10"/>
        <v>13054.568254067884</v>
      </c>
      <c r="AU8" s="50">
        <f t="shared" si="10"/>
        <v>13382.938761803358</v>
      </c>
      <c r="AV8" s="51">
        <f t="shared" si="10"/>
        <v>51109.225579350743</v>
      </c>
    </row>
    <row r="9" spans="1:48" outlineLevel="1" x14ac:dyDescent="0.3">
      <c r="B9" s="459" t="s">
        <v>100</v>
      </c>
      <c r="C9" s="460"/>
      <c r="D9" s="105">
        <v>2175.8000000000002</v>
      </c>
      <c r="E9" s="105">
        <v>2012</v>
      </c>
      <c r="F9" s="105">
        <v>2199.6</v>
      </c>
      <c r="G9" s="105">
        <f t="shared" si="0"/>
        <v>2139.4999999999991</v>
      </c>
      <c r="H9" s="170">
        <v>8526.9</v>
      </c>
      <c r="I9" s="105">
        <v>2236.4</v>
      </c>
      <c r="J9" s="105">
        <v>1997.7</v>
      </c>
      <c r="K9" s="105">
        <v>1484</v>
      </c>
      <c r="L9" s="105">
        <v>1976.8</v>
      </c>
      <c r="M9" s="170">
        <f>SUM(I9:L9)</f>
        <v>7694.9000000000005</v>
      </c>
      <c r="N9" s="105">
        <v>2049.1</v>
      </c>
      <c r="O9" s="105">
        <v>1992.4</v>
      </c>
      <c r="P9" s="105">
        <v>2206</v>
      </c>
      <c r="Q9" s="105">
        <v>2491.1</v>
      </c>
      <c r="R9" s="170">
        <f>SUM(N9:Q9)</f>
        <v>8738.6</v>
      </c>
      <c r="S9" s="105">
        <v>2526.9</v>
      </c>
      <c r="T9" s="105">
        <v>2465.8000000000002</v>
      </c>
      <c r="U9" s="105">
        <v>2613.6</v>
      </c>
      <c r="V9" s="105">
        <f>+V60+V93+V110+V125</f>
        <v>2680.4740760427126</v>
      </c>
      <c r="W9" s="170">
        <f>SUM(S9:V9)</f>
        <v>10286.774076042713</v>
      </c>
      <c r="X9" s="105">
        <f>+X60+X93+X110+X125</f>
        <v>2792.2046014811281</v>
      </c>
      <c r="Y9" s="105">
        <f>+Y60+Y93+Y110+Y125</f>
        <v>2698.0110990988778</v>
      </c>
      <c r="Z9" s="105">
        <f>+Z60+Z93+Z110+Z125</f>
        <v>2952.0141051285923</v>
      </c>
      <c r="AA9" s="105">
        <f>+AA60+AA93+AA110+AA125</f>
        <v>2951.0890842542804</v>
      </c>
      <c r="AB9" s="49">
        <f>SUM(X9:AA9)</f>
        <v>11393.318889962877</v>
      </c>
      <c r="AC9" s="105">
        <f>+AC60+AC93+AC110+AC125</f>
        <v>3023.2384942526246</v>
      </c>
      <c r="AD9" s="105">
        <f>+AD60+AD93+AD110+AD125</f>
        <v>2902.466857308701</v>
      </c>
      <c r="AE9" s="105">
        <f>+AE60+AE93+AE110+AE125</f>
        <v>3218.0178890072548</v>
      </c>
      <c r="AF9" s="105">
        <f>+AF60+AF93+AF110+AF125</f>
        <v>3315.8214837705582</v>
      </c>
      <c r="AG9" s="49">
        <f>SUM(AC9:AF9)</f>
        <v>12459.544724339139</v>
      </c>
      <c r="AH9" s="105">
        <f>+AH60+AH93+AH110+AH125</f>
        <v>3349.1473466965335</v>
      </c>
      <c r="AI9" s="105">
        <f>+AI60+AI93+AI110+AI125</f>
        <v>3208.547147045143</v>
      </c>
      <c r="AJ9" s="105">
        <f>+AJ60+AJ93+AJ110+AJ125</f>
        <v>3536.0498900789989</v>
      </c>
      <c r="AK9" s="105">
        <f>+AK60+AK93+AK110+AK125</f>
        <v>3681.0028136399264</v>
      </c>
      <c r="AL9" s="49">
        <f>SUM(AH9:AK9)</f>
        <v>13774.747197460601</v>
      </c>
      <c r="AM9" s="105">
        <f>+AM60+AM93+AM110+AM125</f>
        <v>3678.0411736337292</v>
      </c>
      <c r="AN9" s="105">
        <f>+AN60+AN93+AN110+AN125</f>
        <v>3501.2840744200125</v>
      </c>
      <c r="AO9" s="105">
        <f>+AO60+AO93+AO110+AO125</f>
        <v>3847.5319249663094</v>
      </c>
      <c r="AP9" s="105">
        <f>+AP60+AP93+AP110+AP125</f>
        <v>3993.436959935877</v>
      </c>
      <c r="AQ9" s="49">
        <f>SUM(AM9:AP9)</f>
        <v>15020.294132955929</v>
      </c>
      <c r="AR9" s="105">
        <f>+AR60+AR93+AR110+AR125</f>
        <v>3911.8014904043416</v>
      </c>
      <c r="AS9" s="105">
        <f>+AS60+AS93+AS110+AS125</f>
        <v>3720.0511128171688</v>
      </c>
      <c r="AT9" s="105">
        <f>+AT60+AT93+AT110+AT125</f>
        <v>4088.08973531024</v>
      </c>
      <c r="AU9" s="105">
        <f>+AU60+AU93+AU110+AU125</f>
        <v>4244.8193493405943</v>
      </c>
      <c r="AV9" s="49">
        <f>SUM(AR9:AU9)</f>
        <v>15964.761687872344</v>
      </c>
    </row>
    <row r="10" spans="1:48" outlineLevel="1" x14ac:dyDescent="0.3">
      <c r="B10" s="38" t="s">
        <v>32</v>
      </c>
      <c r="C10" s="18"/>
      <c r="D10" s="105">
        <v>2586.8000000000002</v>
      </c>
      <c r="E10" s="105">
        <v>2554.1</v>
      </c>
      <c r="F10" s="105">
        <v>2643.2</v>
      </c>
      <c r="G10" s="105">
        <f t="shared" si="0"/>
        <v>2709.5000000000009</v>
      </c>
      <c r="H10" s="170">
        <v>10493.6</v>
      </c>
      <c r="I10" s="105">
        <v>2821.5</v>
      </c>
      <c r="J10" s="105">
        <v>2721.4</v>
      </c>
      <c r="K10" s="105">
        <v>2537.8000000000002</v>
      </c>
      <c r="L10" s="48">
        <v>2683.4</v>
      </c>
      <c r="M10" s="49">
        <f t="shared" ref="M10:M13" si="11">SUM(I10:L10)</f>
        <v>10764.1</v>
      </c>
      <c r="N10" s="48">
        <v>2867.3</v>
      </c>
      <c r="O10" s="105">
        <v>2823.3</v>
      </c>
      <c r="P10" s="105">
        <v>2966.9</v>
      </c>
      <c r="Q10" s="105">
        <v>3273.4</v>
      </c>
      <c r="R10" s="170">
        <f t="shared" ref="R10:R13" si="12">SUM(N10:Q10)</f>
        <v>11930.9</v>
      </c>
      <c r="S10" s="48">
        <v>3400</v>
      </c>
      <c r="T10" s="48">
        <v>3314.7</v>
      </c>
      <c r="U10" s="48">
        <v>3302.5</v>
      </c>
      <c r="V10" s="48">
        <f>+V62+V95</f>
        <v>3414.8150402467754</v>
      </c>
      <c r="W10" s="170">
        <f t="shared" ref="W10:W13" si="13">SUM(S10:V10)</f>
        <v>13432.015040246777</v>
      </c>
      <c r="X10" s="48">
        <f>+X62+X95</f>
        <v>3685.4801881898834</v>
      </c>
      <c r="Y10" s="48">
        <f>+Y62+Y95</f>
        <v>3621.863857006987</v>
      </c>
      <c r="Z10" s="48">
        <f>+Z62+Z95</f>
        <v>3791.4905667549974</v>
      </c>
      <c r="AA10" s="48">
        <f>+AA62+AA95</f>
        <v>3859.9983897140073</v>
      </c>
      <c r="AB10" s="49">
        <f t="shared" ref="AB10:AB13" si="14">SUM(X10:AA10)</f>
        <v>14958.833001665877</v>
      </c>
      <c r="AC10" s="48">
        <f>+AC62+AC95</f>
        <v>4089.8826101992436</v>
      </c>
      <c r="AD10" s="48">
        <f>+AD62+AD95</f>
        <v>3933.8256950432133</v>
      </c>
      <c r="AE10" s="48">
        <f>+AE62+AE95</f>
        <v>4163.9065147189303</v>
      </c>
      <c r="AF10" s="48">
        <f>+AF62+AF95</f>
        <v>4315.9635483888687</v>
      </c>
      <c r="AG10" s="49">
        <f t="shared" ref="AG10:AG14" si="15">SUM(AC10:AF10)</f>
        <v>16503.578368350256</v>
      </c>
      <c r="AH10" s="48">
        <f>+AH62+AH95</f>
        <v>4555.7736821072267</v>
      </c>
      <c r="AI10" s="48">
        <f>+AI62+AI95</f>
        <v>4378.8433292944728</v>
      </c>
      <c r="AJ10" s="48">
        <f>+AJ62+AJ95</f>
        <v>4606.890573962497</v>
      </c>
      <c r="AK10" s="48">
        <f>+AK62+AK95</f>
        <v>4819.4739979948627</v>
      </c>
      <c r="AL10" s="49">
        <f t="shared" ref="AL10:AL14" si="16">SUM(AH10:AK10)</f>
        <v>18360.981583359062</v>
      </c>
      <c r="AM10" s="48">
        <f>+AM62+AM95</f>
        <v>5015.9853796321413</v>
      </c>
      <c r="AN10" s="48">
        <f>+AN62+AN95</f>
        <v>4800.943043211957</v>
      </c>
      <c r="AO10" s="48">
        <f>+AO62+AO95</f>
        <v>5042.110056853493</v>
      </c>
      <c r="AP10" s="48">
        <f>+AP62+AP95</f>
        <v>5260.711730717212</v>
      </c>
      <c r="AQ10" s="49">
        <f t="shared" ref="AQ10:AQ14" si="17">SUM(AM10:AP10)</f>
        <v>20119.750210414804</v>
      </c>
      <c r="AR10" s="48">
        <f>+AR62+AR95</f>
        <v>5360.5936623820489</v>
      </c>
      <c r="AS10" s="48">
        <f>+AS62+AS95</f>
        <v>5127.6553297194241</v>
      </c>
      <c r="AT10" s="48">
        <f>+AT62+AT95</f>
        <v>5384.989355641309</v>
      </c>
      <c r="AU10" s="48">
        <f>+AU62+AU95</f>
        <v>5617.5289751728369</v>
      </c>
      <c r="AV10" s="49">
        <f t="shared" ref="AV10:AV14" si="18">SUM(AR10:AU10)</f>
        <v>21490.767322915621</v>
      </c>
    </row>
    <row r="11" spans="1:48" outlineLevel="1" x14ac:dyDescent="0.3">
      <c r="B11" s="38" t="s">
        <v>33</v>
      </c>
      <c r="C11" s="18"/>
      <c r="D11" s="105">
        <v>97.6</v>
      </c>
      <c r="E11" s="105">
        <v>87.1</v>
      </c>
      <c r="F11" s="105">
        <v>94.4</v>
      </c>
      <c r="G11" s="105">
        <f t="shared" si="0"/>
        <v>91.900000000000034</v>
      </c>
      <c r="H11" s="170">
        <v>371</v>
      </c>
      <c r="I11" s="105">
        <v>101.8</v>
      </c>
      <c r="J11" s="105">
        <v>95</v>
      </c>
      <c r="K11" s="105">
        <v>133.6</v>
      </c>
      <c r="L11" s="48">
        <v>99.9</v>
      </c>
      <c r="M11" s="49">
        <f t="shared" si="11"/>
        <v>430.29999999999995</v>
      </c>
      <c r="N11" s="48">
        <v>91.8</v>
      </c>
      <c r="O11" s="105">
        <v>87.7</v>
      </c>
      <c r="P11" s="105">
        <v>71.400000000000006</v>
      </c>
      <c r="Q11" s="105">
        <v>108.6</v>
      </c>
      <c r="R11" s="170">
        <f t="shared" si="12"/>
        <v>359.5</v>
      </c>
      <c r="S11" s="48">
        <v>101.7</v>
      </c>
      <c r="T11" s="48">
        <v>101.7</v>
      </c>
      <c r="U11" s="48">
        <v>135.1</v>
      </c>
      <c r="V11" s="48">
        <f>+V64+V97+V112+V126</f>
        <v>135.32630991142233</v>
      </c>
      <c r="W11" s="170">
        <f t="shared" si="13"/>
        <v>473.8263099114223</v>
      </c>
      <c r="X11" s="48">
        <f>+X64+X97+X112+X126</f>
        <v>119.63392249164208</v>
      </c>
      <c r="Y11" s="48">
        <f>+Y64+Y97+Y112+Y126</f>
        <v>112.38120296136272</v>
      </c>
      <c r="Z11" s="48">
        <f>+Z64+Z97+Z112+Z126</f>
        <v>147.10195665905303</v>
      </c>
      <c r="AA11" s="48">
        <f>+AA64+AA97+AA112+AA126</f>
        <v>138.97111750822123</v>
      </c>
      <c r="AB11" s="49">
        <f t="shared" si="14"/>
        <v>518.08819962027906</v>
      </c>
      <c r="AC11" s="48">
        <f>+AC64+AC97+AC112+AC126</f>
        <v>126.75537967623542</v>
      </c>
      <c r="AD11" s="48">
        <f>+AD64+AD97+AD112+AD126</f>
        <v>124.31897310126313</v>
      </c>
      <c r="AE11" s="48">
        <f>+AE64+AE97+AE112+AE126</f>
        <v>151.73192302219883</v>
      </c>
      <c r="AF11" s="48">
        <f>+AF64+AF97+AF112+AF126</f>
        <v>142.70666780703053</v>
      </c>
      <c r="AG11" s="49">
        <f t="shared" si="15"/>
        <v>545.51294360672784</v>
      </c>
      <c r="AH11" s="48">
        <f>+AH64+AH97+AH112+AH126</f>
        <v>134.43580305267341</v>
      </c>
      <c r="AI11" s="48">
        <f>+AI64+AI97+AI112+AI126</f>
        <v>133.81658504870623</v>
      </c>
      <c r="AJ11" s="48">
        <f>+AJ64+AJ97+AJ112+AJ126</f>
        <v>152.91518920045755</v>
      </c>
      <c r="AK11" s="48">
        <f>+AK64+AK97+AK112+AK126</f>
        <v>150.6224716147363</v>
      </c>
      <c r="AL11" s="49">
        <f t="shared" si="16"/>
        <v>571.7900489165736</v>
      </c>
      <c r="AM11" s="48">
        <f>+AM64+AM97+AM112+AM126</f>
        <v>148.2925012715591</v>
      </c>
      <c r="AN11" s="48">
        <f>+AN64+AN97+AN112+AN126</f>
        <v>146.69043608734765</v>
      </c>
      <c r="AO11" s="48">
        <f>+AO64+AO97+AO112+AO126</f>
        <v>166.74520966001205</v>
      </c>
      <c r="AP11" s="48">
        <f>+AP64+AP97+AP112+AP126</f>
        <v>163.27997382605707</v>
      </c>
      <c r="AQ11" s="49">
        <f t="shared" si="17"/>
        <v>625.00812084497579</v>
      </c>
      <c r="AR11" s="48">
        <f>+AR64+AR97+AR112+AR126</f>
        <v>157.57489229158986</v>
      </c>
      <c r="AS11" s="48">
        <f>+AS64+AS97+AS112+AS126</f>
        <v>155.77830829345254</v>
      </c>
      <c r="AT11" s="48">
        <f>+AT64+AT97+AT112+AT126</f>
        <v>177.09212998252491</v>
      </c>
      <c r="AU11" s="48">
        <f>+AU64+AU97+AU112+AU126</f>
        <v>173.40265830281751</v>
      </c>
      <c r="AV11" s="49">
        <f t="shared" si="18"/>
        <v>663.84798887038482</v>
      </c>
    </row>
    <row r="12" spans="1:48" outlineLevel="1" x14ac:dyDescent="0.3">
      <c r="B12" s="38" t="s">
        <v>34</v>
      </c>
      <c r="C12" s="18"/>
      <c r="D12" s="105">
        <v>333.4</v>
      </c>
      <c r="E12" s="105">
        <v>356.2</v>
      </c>
      <c r="F12" s="105">
        <v>343.1</v>
      </c>
      <c r="G12" s="105">
        <f t="shared" si="0"/>
        <v>344.5999999999998</v>
      </c>
      <c r="H12" s="170">
        <v>1377.3</v>
      </c>
      <c r="I12" s="105">
        <v>351</v>
      </c>
      <c r="J12" s="105">
        <v>356.3</v>
      </c>
      <c r="K12" s="105">
        <v>361</v>
      </c>
      <c r="L12" s="48">
        <v>362.9</v>
      </c>
      <c r="M12" s="49">
        <f t="shared" ref="M12" si="19">SUM(I12:L12)</f>
        <v>1431.1999999999998</v>
      </c>
      <c r="N12" s="48">
        <v>366.1</v>
      </c>
      <c r="O12" s="105">
        <v>366.7</v>
      </c>
      <c r="P12" s="105">
        <v>354.3</v>
      </c>
      <c r="Q12" s="105">
        <v>354.7</v>
      </c>
      <c r="R12" s="170">
        <f t="shared" ref="R12" si="20">SUM(N12:Q12)</f>
        <v>1441.8</v>
      </c>
      <c r="S12" s="48">
        <v>366</v>
      </c>
      <c r="T12" s="48">
        <v>367.7</v>
      </c>
      <c r="U12" s="48">
        <v>356.8</v>
      </c>
      <c r="V12" s="48">
        <f>+V66+V99+V114+V127</f>
        <v>369.17212312193374</v>
      </c>
      <c r="W12" s="170">
        <f t="shared" ref="W12" si="21">SUM(S12:V12)</f>
        <v>1459.6721231219337</v>
      </c>
      <c r="X12" s="48">
        <f t="shared" ref="X12:AA13" si="22">+X66+X99+X114+X127</f>
        <v>375.30210196547938</v>
      </c>
      <c r="Y12" s="48">
        <f t="shared" si="22"/>
        <v>391.37490633538391</v>
      </c>
      <c r="Z12" s="48">
        <f t="shared" si="22"/>
        <v>404.78952170607175</v>
      </c>
      <c r="AA12" s="48">
        <f t="shared" si="22"/>
        <v>420.9655435828563</v>
      </c>
      <c r="AB12" s="49">
        <f t="shared" ref="AB12" si="23">SUM(X12:AA12)</f>
        <v>1592.4320735897913</v>
      </c>
      <c r="AC12" s="48">
        <f t="shared" ref="AC12:AF13" si="24">+AC66+AC99+AC114+AC127</f>
        <v>437.34646088019144</v>
      </c>
      <c r="AD12" s="48">
        <f t="shared" si="24"/>
        <v>450.04201051763891</v>
      </c>
      <c r="AE12" s="48">
        <f t="shared" si="24"/>
        <v>459.74983134804819</v>
      </c>
      <c r="AF12" s="48">
        <f t="shared" si="24"/>
        <v>472.46435477520987</v>
      </c>
      <c r="AG12" s="49">
        <f t="shared" si="15"/>
        <v>1819.6026575210883</v>
      </c>
      <c r="AH12" s="48">
        <f t="shared" ref="AH12:AK13" si="25">+AH66+AH99+AH114+AH127</f>
        <v>485.4921110494052</v>
      </c>
      <c r="AI12" s="48">
        <f t="shared" si="25"/>
        <v>495.22083113045761</v>
      </c>
      <c r="AJ12" s="48">
        <f t="shared" si="25"/>
        <v>502.1832554973912</v>
      </c>
      <c r="AK12" s="48">
        <f t="shared" si="25"/>
        <v>512.3158603861765</v>
      </c>
      <c r="AL12" s="49">
        <f t="shared" si="16"/>
        <v>1995.2120580634305</v>
      </c>
      <c r="AM12" s="48">
        <f t="shared" ref="AM12:AP13" si="26">+AM66+AM99+AM114+AM127</f>
        <v>522.97205188188184</v>
      </c>
      <c r="AN12" s="48">
        <f t="shared" si="26"/>
        <v>534.34978961287891</v>
      </c>
      <c r="AO12" s="48">
        <f t="shared" si="26"/>
        <v>542.44625512752634</v>
      </c>
      <c r="AP12" s="48">
        <f t="shared" si="26"/>
        <v>553.81189912716638</v>
      </c>
      <c r="AQ12" s="49">
        <f t="shared" si="17"/>
        <v>2153.5799957494532</v>
      </c>
      <c r="AR12" s="48">
        <f t="shared" ref="AR12:AU13" si="27">+AR66+AR99+AR114+AR127</f>
        <v>565.58895381794139</v>
      </c>
      <c r="AS12" s="48">
        <f t="shared" si="27"/>
        <v>577.18545176484758</v>
      </c>
      <c r="AT12" s="48">
        <f t="shared" si="27"/>
        <v>585.28811585448</v>
      </c>
      <c r="AU12" s="48">
        <f t="shared" si="27"/>
        <v>596.88948817681307</v>
      </c>
      <c r="AV12" s="49">
        <f t="shared" si="18"/>
        <v>2324.9520096140823</v>
      </c>
    </row>
    <row r="13" spans="1:48" ht="17.25" customHeight="1" outlineLevel="1" x14ac:dyDescent="0.3">
      <c r="B13" s="38" t="s">
        <v>83</v>
      </c>
      <c r="C13" s="18"/>
      <c r="D13" s="105">
        <v>448</v>
      </c>
      <c r="E13" s="105">
        <v>458.1</v>
      </c>
      <c r="F13" s="105">
        <v>459.7</v>
      </c>
      <c r="G13" s="105">
        <f t="shared" si="0"/>
        <v>458.29999999999984</v>
      </c>
      <c r="H13" s="170">
        <v>1824.1</v>
      </c>
      <c r="I13" s="105">
        <v>434.2</v>
      </c>
      <c r="J13" s="105">
        <v>406.5</v>
      </c>
      <c r="K13" s="105">
        <v>399.9</v>
      </c>
      <c r="L13" s="48">
        <v>439</v>
      </c>
      <c r="M13" s="170">
        <f t="shared" si="11"/>
        <v>1679.6</v>
      </c>
      <c r="N13" s="48">
        <v>472.1</v>
      </c>
      <c r="O13" s="105">
        <v>464.4</v>
      </c>
      <c r="P13" s="105">
        <v>494.9</v>
      </c>
      <c r="Q13" s="105">
        <v>501.2</v>
      </c>
      <c r="R13" s="170">
        <f t="shared" si="12"/>
        <v>1932.6000000000001</v>
      </c>
      <c r="S13" s="48">
        <v>525.79999999999995</v>
      </c>
      <c r="T13" s="48">
        <v>481.5</v>
      </c>
      <c r="U13" s="48">
        <v>486.7</v>
      </c>
      <c r="V13" s="48">
        <f>+V67+V100+V115+V128</f>
        <v>585.15732864887252</v>
      </c>
      <c r="W13" s="170">
        <f t="shared" si="13"/>
        <v>2079.1573286488724</v>
      </c>
      <c r="X13" s="48">
        <f t="shared" si="22"/>
        <v>542.76112092038784</v>
      </c>
      <c r="Y13" s="48">
        <f t="shared" si="22"/>
        <v>516.12701489731307</v>
      </c>
      <c r="Z13" s="48">
        <f t="shared" si="22"/>
        <v>532.33892503138804</v>
      </c>
      <c r="AA13" s="48">
        <f t="shared" si="22"/>
        <v>553.177839499024</v>
      </c>
      <c r="AB13" s="49">
        <f t="shared" si="14"/>
        <v>2144.4049003481132</v>
      </c>
      <c r="AC13" s="48">
        <f t="shared" si="24"/>
        <v>551.42441050601303</v>
      </c>
      <c r="AD13" s="48">
        <f t="shared" si="24"/>
        <v>551.50437387975376</v>
      </c>
      <c r="AE13" s="48">
        <f t="shared" si="24"/>
        <v>549.83180838207022</v>
      </c>
      <c r="AF13" s="48">
        <f t="shared" si="24"/>
        <v>573.78728606917855</v>
      </c>
      <c r="AG13" s="49">
        <f t="shared" si="15"/>
        <v>2226.5478788370156</v>
      </c>
      <c r="AH13" s="48">
        <f t="shared" si="25"/>
        <v>567.57976542236452</v>
      </c>
      <c r="AI13" s="48">
        <f t="shared" si="25"/>
        <v>567.93530050096217</v>
      </c>
      <c r="AJ13" s="48">
        <f t="shared" si="25"/>
        <v>565.37791475381823</v>
      </c>
      <c r="AK13" s="48">
        <f t="shared" si="25"/>
        <v>591.99041389706031</v>
      </c>
      <c r="AL13" s="49">
        <f t="shared" si="16"/>
        <v>2292.8833945742053</v>
      </c>
      <c r="AM13" s="48">
        <f t="shared" si="26"/>
        <v>595.40250702208357</v>
      </c>
      <c r="AN13" s="48">
        <f t="shared" si="26"/>
        <v>593.19195021888891</v>
      </c>
      <c r="AO13" s="48">
        <f t="shared" si="26"/>
        <v>588.92307284471519</v>
      </c>
      <c r="AP13" s="48">
        <f t="shared" si="26"/>
        <v>616.15102587948604</v>
      </c>
      <c r="AQ13" s="49">
        <f t="shared" si="17"/>
        <v>2393.6685559651737</v>
      </c>
      <c r="AR13" s="48">
        <f t="shared" si="27"/>
        <v>613.23542475422789</v>
      </c>
      <c r="AS13" s="48">
        <f t="shared" si="27"/>
        <v>610.61667774298451</v>
      </c>
      <c r="AT13" s="48">
        <f t="shared" si="27"/>
        <v>606.05730142078437</v>
      </c>
      <c r="AU13" s="48">
        <f t="shared" si="27"/>
        <v>635.17649235891781</v>
      </c>
      <c r="AV13" s="49">
        <f t="shared" si="18"/>
        <v>2465.0858962769144</v>
      </c>
    </row>
    <row r="14" spans="1:48" ht="17.25" customHeight="1" outlineLevel="1" x14ac:dyDescent="0.45">
      <c r="B14" s="38" t="s">
        <v>42</v>
      </c>
      <c r="C14" s="18"/>
      <c r="D14" s="104">
        <v>43.2</v>
      </c>
      <c r="E14" s="104">
        <v>43</v>
      </c>
      <c r="F14" s="104">
        <v>37.700000000000003</v>
      </c>
      <c r="G14" s="104">
        <f t="shared" si="0"/>
        <v>11.900000000000006</v>
      </c>
      <c r="H14" s="173">
        <v>135.80000000000001</v>
      </c>
      <c r="I14" s="104">
        <v>6.3</v>
      </c>
      <c r="J14" s="104">
        <v>-0.7</v>
      </c>
      <c r="K14" s="104">
        <v>78.099999999999994</v>
      </c>
      <c r="L14" s="104">
        <v>195</v>
      </c>
      <c r="M14" s="53">
        <f t="shared" ref="M14" si="28">SUM(I14:L14)</f>
        <v>278.7</v>
      </c>
      <c r="N14" s="52">
        <v>72.2</v>
      </c>
      <c r="O14" s="104">
        <v>23</v>
      </c>
      <c r="P14" s="104">
        <v>19.8</v>
      </c>
      <c r="Q14" s="104">
        <v>55.5</v>
      </c>
      <c r="R14" s="173">
        <f t="shared" ref="R14" si="29">SUM(N14:Q14)</f>
        <v>170.5</v>
      </c>
      <c r="S14" s="52">
        <v>-7.5</v>
      </c>
      <c r="T14" s="52">
        <v>4.4000000000000004</v>
      </c>
      <c r="U14" s="52">
        <v>14</v>
      </c>
      <c r="V14" s="52">
        <f>+V69+V102+V117+V129</f>
        <v>50</v>
      </c>
      <c r="W14" s="173">
        <f t="shared" ref="W14" si="30">SUM(S14:V14)</f>
        <v>60.9</v>
      </c>
      <c r="X14" s="52">
        <f>+X69+X102+X117+X129</f>
        <v>50</v>
      </c>
      <c r="Y14" s="52">
        <f>+Y69+Y102+Y117+Y129</f>
        <v>0</v>
      </c>
      <c r="Z14" s="52">
        <f>+Z69+Z102+Z117+Z129</f>
        <v>0</v>
      </c>
      <c r="AA14" s="52">
        <f>+AA69+AA102+AA117+AA129</f>
        <v>0</v>
      </c>
      <c r="AB14" s="53">
        <f t="shared" ref="AB14" si="31">SUM(X14:AA14)</f>
        <v>50</v>
      </c>
      <c r="AC14" s="52">
        <f>+AC69+AC102+AC117+AC129</f>
        <v>0</v>
      </c>
      <c r="AD14" s="52">
        <f>+AD69+AD102+AD117+AD129</f>
        <v>0</v>
      </c>
      <c r="AE14" s="52">
        <f>+AE69+AE102+AE117+AE129</f>
        <v>0</v>
      </c>
      <c r="AF14" s="52">
        <f>+AF69+AF102+AF117+AF129</f>
        <v>0</v>
      </c>
      <c r="AG14" s="53">
        <f t="shared" si="15"/>
        <v>0</v>
      </c>
      <c r="AH14" s="52">
        <f>+AH69+AH102+AH117+AH129</f>
        <v>0</v>
      </c>
      <c r="AI14" s="52">
        <f>+AI69+AI102+AI117+AI129</f>
        <v>0</v>
      </c>
      <c r="AJ14" s="52">
        <f>+AJ69+AJ102+AJ117+AJ129</f>
        <v>0</v>
      </c>
      <c r="AK14" s="52">
        <f>+AK69+AK102+AK117+AK129</f>
        <v>0</v>
      </c>
      <c r="AL14" s="53">
        <f t="shared" si="16"/>
        <v>0</v>
      </c>
      <c r="AM14" s="52">
        <f>+AM69+AM102+AM117+AM129</f>
        <v>0</v>
      </c>
      <c r="AN14" s="52">
        <f>+AN69+AN102+AN117+AN129</f>
        <v>0</v>
      </c>
      <c r="AO14" s="52">
        <f>+AO69+AO102+AO117+AO129</f>
        <v>0</v>
      </c>
      <c r="AP14" s="52">
        <f>+AP69+AP102+AP117+AP129</f>
        <v>0</v>
      </c>
      <c r="AQ14" s="53">
        <f t="shared" si="17"/>
        <v>0</v>
      </c>
      <c r="AR14" s="52">
        <f>+AR69+AR102+AR117+AR129</f>
        <v>0</v>
      </c>
      <c r="AS14" s="52">
        <f>+AS69+AS102+AS117+AS129</f>
        <v>0</v>
      </c>
      <c r="AT14" s="52">
        <f>+AT69+AT102+AT117+AT129</f>
        <v>0</v>
      </c>
      <c r="AU14" s="52">
        <f>+AU69+AU102+AU117+AU129</f>
        <v>0</v>
      </c>
      <c r="AV14" s="53">
        <f t="shared" si="18"/>
        <v>0</v>
      </c>
    </row>
    <row r="15" spans="1:48" s="20" customFormat="1" ht="17.25" customHeight="1" x14ac:dyDescent="0.45">
      <c r="B15" s="46" t="s">
        <v>8</v>
      </c>
      <c r="C15" s="19"/>
      <c r="D15" s="106">
        <f t="shared" ref="D15:AL15" si="32">SUM(D10:D14)+D9</f>
        <v>5684.8</v>
      </c>
      <c r="E15" s="106">
        <f t="shared" si="32"/>
        <v>5510.5</v>
      </c>
      <c r="F15" s="106">
        <f t="shared" si="32"/>
        <v>5777.6999999999989</v>
      </c>
      <c r="G15" s="106">
        <f t="shared" si="32"/>
        <v>5755.7</v>
      </c>
      <c r="H15" s="175">
        <f t="shared" si="32"/>
        <v>22728.699999999997</v>
      </c>
      <c r="I15" s="106">
        <f t="shared" si="32"/>
        <v>5951.2000000000007</v>
      </c>
      <c r="J15" s="106">
        <f t="shared" si="32"/>
        <v>5576.2000000000007</v>
      </c>
      <c r="K15" s="106">
        <f t="shared" si="32"/>
        <v>4994.3999999999996</v>
      </c>
      <c r="L15" s="54">
        <f t="shared" si="32"/>
        <v>5757</v>
      </c>
      <c r="M15" s="55">
        <f t="shared" si="32"/>
        <v>22278.799999999999</v>
      </c>
      <c r="N15" s="54">
        <f t="shared" si="32"/>
        <v>5918.6</v>
      </c>
      <c r="O15" s="106">
        <f t="shared" si="32"/>
        <v>5757.5</v>
      </c>
      <c r="P15" s="106">
        <f>SUM(P10:P14)+P9</f>
        <v>6113.3000000000011</v>
      </c>
      <c r="Q15" s="106">
        <f>SUM(Q10:Q14)+Q9</f>
        <v>6784.5</v>
      </c>
      <c r="R15" s="175">
        <f t="shared" si="32"/>
        <v>24573.9</v>
      </c>
      <c r="S15" s="54">
        <f t="shared" si="32"/>
        <v>6912.9</v>
      </c>
      <c r="T15" s="54">
        <f t="shared" si="32"/>
        <v>6735.7999999999993</v>
      </c>
      <c r="U15" s="54">
        <f t="shared" si="32"/>
        <v>6908.7000000000007</v>
      </c>
      <c r="V15" s="54">
        <f t="shared" si="32"/>
        <v>7234.9448779717168</v>
      </c>
      <c r="W15" s="175">
        <f t="shared" si="32"/>
        <v>27792.344877971722</v>
      </c>
      <c r="X15" s="54">
        <f t="shared" si="32"/>
        <v>7565.381935048521</v>
      </c>
      <c r="Y15" s="54">
        <f t="shared" si="32"/>
        <v>7339.7580802999237</v>
      </c>
      <c r="Z15" s="54">
        <f t="shared" si="32"/>
        <v>7827.7350752801012</v>
      </c>
      <c r="AA15" s="54">
        <f t="shared" si="32"/>
        <v>7924.2019745583893</v>
      </c>
      <c r="AB15" s="55">
        <f t="shared" si="32"/>
        <v>30657.077065186935</v>
      </c>
      <c r="AC15" s="54">
        <f t="shared" si="32"/>
        <v>8228.6473555143093</v>
      </c>
      <c r="AD15" s="54">
        <f t="shared" si="32"/>
        <v>7962.1579098505699</v>
      </c>
      <c r="AE15" s="54">
        <f t="shared" si="32"/>
        <v>8543.2379664785039</v>
      </c>
      <c r="AF15" s="54">
        <f t="shared" si="32"/>
        <v>8820.7433408108463</v>
      </c>
      <c r="AG15" s="55">
        <f t="shared" si="32"/>
        <v>33554.78657265423</v>
      </c>
      <c r="AH15" s="54">
        <f t="shared" si="32"/>
        <v>9092.4287083282034</v>
      </c>
      <c r="AI15" s="54">
        <f t="shared" si="32"/>
        <v>8784.3631930197425</v>
      </c>
      <c r="AJ15" s="54">
        <f t="shared" si="32"/>
        <v>9363.416823493164</v>
      </c>
      <c r="AK15" s="54">
        <f t="shared" si="32"/>
        <v>9755.405557532762</v>
      </c>
      <c r="AL15" s="55">
        <f t="shared" si="32"/>
        <v>36995.61428237387</v>
      </c>
      <c r="AM15" s="54">
        <f t="shared" ref="AM15:AQ15" si="33">SUM(AM10:AM14)+AM9</f>
        <v>9960.6936134413954</v>
      </c>
      <c r="AN15" s="54">
        <f t="shared" si="33"/>
        <v>9576.4592935510864</v>
      </c>
      <c r="AO15" s="54">
        <f t="shared" si="33"/>
        <v>10187.756519452056</v>
      </c>
      <c r="AP15" s="54">
        <f t="shared" si="33"/>
        <v>10587.3915894858</v>
      </c>
      <c r="AQ15" s="55">
        <f t="shared" si="33"/>
        <v>40312.301015930338</v>
      </c>
      <c r="AR15" s="54">
        <f t="shared" ref="AR15:AV15" si="34">SUM(AR10:AR14)+AR9</f>
        <v>10608.79442365015</v>
      </c>
      <c r="AS15" s="54">
        <f t="shared" si="34"/>
        <v>10191.286880337879</v>
      </c>
      <c r="AT15" s="54">
        <f t="shared" si="34"/>
        <v>10841.516638209338</v>
      </c>
      <c r="AU15" s="54">
        <f t="shared" si="34"/>
        <v>11267.816963351979</v>
      </c>
      <c r="AV15" s="55">
        <f t="shared" si="34"/>
        <v>42909.41490554934</v>
      </c>
    </row>
    <row r="16" spans="1:48" s="23" customFormat="1" ht="17.25" customHeight="1" x14ac:dyDescent="0.45">
      <c r="B16" s="461" t="s">
        <v>36</v>
      </c>
      <c r="C16" s="462"/>
      <c r="D16" s="104">
        <v>67.8</v>
      </c>
      <c r="E16" s="104">
        <v>62.3</v>
      </c>
      <c r="F16" s="104">
        <v>76</v>
      </c>
      <c r="G16" s="104">
        <f t="shared" si="0"/>
        <v>91.899999999999991</v>
      </c>
      <c r="H16" s="173">
        <v>298</v>
      </c>
      <c r="I16" s="104">
        <v>73.900000000000006</v>
      </c>
      <c r="J16" s="104">
        <v>67.900000000000006</v>
      </c>
      <c r="K16" s="104">
        <v>68.400000000000006</v>
      </c>
      <c r="L16" s="52">
        <v>112.2</v>
      </c>
      <c r="M16" s="53">
        <f t="shared" ref="M16" si="35">SUM(I16:L16)</f>
        <v>322.40000000000003</v>
      </c>
      <c r="N16" s="52">
        <v>82.7</v>
      </c>
      <c r="O16" s="104">
        <v>77.099999999999994</v>
      </c>
      <c r="P16" s="104">
        <v>105.5</v>
      </c>
      <c r="Q16" s="104">
        <v>120</v>
      </c>
      <c r="R16" s="173">
        <f t="shared" ref="R16" si="36">SUM(N16:Q16)</f>
        <v>385.3</v>
      </c>
      <c r="S16" s="52">
        <v>40.299999999999997</v>
      </c>
      <c r="T16" s="52">
        <v>49.1</v>
      </c>
      <c r="U16" s="52">
        <v>54.1</v>
      </c>
      <c r="V16" s="52">
        <f>+V104+V119</f>
        <v>54.1</v>
      </c>
      <c r="W16" s="173">
        <f t="shared" ref="W16" si="37">SUM(S16:V16)</f>
        <v>197.6</v>
      </c>
      <c r="X16" s="52">
        <f>+X104+X119</f>
        <v>54.1</v>
      </c>
      <c r="Y16" s="52">
        <f>+Y104+Y119</f>
        <v>54.2</v>
      </c>
      <c r="Z16" s="52">
        <f>+Z104+Z119</f>
        <v>54.300000000000004</v>
      </c>
      <c r="AA16" s="52">
        <f>+AA104+AA119</f>
        <v>54.400000000000006</v>
      </c>
      <c r="AB16" s="53">
        <f t="shared" ref="AB16" si="38">SUM(X16:AA16)</f>
        <v>217.00000000000003</v>
      </c>
      <c r="AC16" s="52">
        <f>+AC104+AC119</f>
        <v>54.7</v>
      </c>
      <c r="AD16" s="52">
        <f>+AD104+AD119</f>
        <v>54.7</v>
      </c>
      <c r="AE16" s="52">
        <f>+AE104+AE119</f>
        <v>54.7</v>
      </c>
      <c r="AF16" s="52">
        <f>+AF104+AF119</f>
        <v>54.7</v>
      </c>
      <c r="AG16" s="53">
        <f t="shared" ref="AG16" si="39">SUM(AC16:AF16)</f>
        <v>218.8</v>
      </c>
      <c r="AH16" s="52">
        <f>+AH104+AH119</f>
        <v>54.7</v>
      </c>
      <c r="AI16" s="52">
        <f>+AI104+AI119</f>
        <v>54.7</v>
      </c>
      <c r="AJ16" s="52">
        <f>+AJ104+AJ119</f>
        <v>54.7</v>
      </c>
      <c r="AK16" s="52">
        <f>+AK104+AK119</f>
        <v>54.7</v>
      </c>
      <c r="AL16" s="53">
        <f t="shared" ref="AL16" si="40">SUM(AH16:AK16)</f>
        <v>218.8</v>
      </c>
      <c r="AM16" s="52">
        <f>+AM104+AM119</f>
        <v>54.7</v>
      </c>
      <c r="AN16" s="52">
        <f>+AN104+AN119</f>
        <v>54.7</v>
      </c>
      <c r="AO16" s="52">
        <f>+AO104+AO119</f>
        <v>54.7</v>
      </c>
      <c r="AP16" s="52">
        <f>+AP104+AP119</f>
        <v>54.7</v>
      </c>
      <c r="AQ16" s="53">
        <f t="shared" ref="AQ16" si="41">SUM(AM16:AP16)</f>
        <v>218.8</v>
      </c>
      <c r="AR16" s="52">
        <f>+AR104+AR119</f>
        <v>54.7</v>
      </c>
      <c r="AS16" s="52">
        <f>+AS104+AS119</f>
        <v>54.7</v>
      </c>
      <c r="AT16" s="52">
        <f>+AT104+AT119</f>
        <v>54.7</v>
      </c>
      <c r="AU16" s="52">
        <f>+AU104+AU119</f>
        <v>54.7</v>
      </c>
      <c r="AV16" s="53">
        <f t="shared" ref="AV16" si="42">SUM(AR16:AU16)</f>
        <v>218.8</v>
      </c>
    </row>
    <row r="17" spans="1:48" x14ac:dyDescent="0.3">
      <c r="B17" s="135" t="s">
        <v>10</v>
      </c>
      <c r="C17" s="136"/>
      <c r="D17" s="103">
        <f t="shared" ref="D17:AQ17" si="43">D8-D15+D16</f>
        <v>1015.7000000000005</v>
      </c>
      <c r="E17" s="103">
        <f t="shared" si="43"/>
        <v>857.69999999999959</v>
      </c>
      <c r="F17" s="103">
        <f t="shared" si="43"/>
        <v>1121.3000000000011</v>
      </c>
      <c r="G17" s="103">
        <f t="shared" si="43"/>
        <v>1083.2000000000012</v>
      </c>
      <c r="H17" s="171">
        <f t="shared" si="43"/>
        <v>4077.9000000000051</v>
      </c>
      <c r="I17" s="103">
        <f t="shared" si="43"/>
        <v>1219.7999999999988</v>
      </c>
      <c r="J17" s="103">
        <f t="shared" si="43"/>
        <v>487.39999999999907</v>
      </c>
      <c r="K17" s="103">
        <f t="shared" si="43"/>
        <v>-703.8999999999993</v>
      </c>
      <c r="L17" s="50">
        <f t="shared" si="43"/>
        <v>558.30000000000041</v>
      </c>
      <c r="M17" s="51">
        <f t="shared" si="43"/>
        <v>1561.6000000000045</v>
      </c>
      <c r="N17" s="50">
        <f t="shared" si="43"/>
        <v>913.50000000000023</v>
      </c>
      <c r="O17" s="103">
        <f t="shared" si="43"/>
        <v>987.6</v>
      </c>
      <c r="P17" s="103">
        <f>P8-P15+P16</f>
        <v>1488.6999999999989</v>
      </c>
      <c r="Q17" s="103">
        <f>Q8-Q15+Q16</f>
        <v>1482.1999999999998</v>
      </c>
      <c r="R17" s="171">
        <f t="shared" si="43"/>
        <v>4871.9999999999973</v>
      </c>
      <c r="S17" s="50">
        <f t="shared" si="43"/>
        <v>1177.8</v>
      </c>
      <c r="T17" s="50">
        <f t="shared" si="43"/>
        <v>948.9000000000002</v>
      </c>
      <c r="U17" s="50">
        <f t="shared" si="43"/>
        <v>1295.4999999999995</v>
      </c>
      <c r="V17" s="50">
        <f t="shared" si="43"/>
        <v>1106.8835609451121</v>
      </c>
      <c r="W17" s="171">
        <f t="shared" si="43"/>
        <v>4529.0835609451042</v>
      </c>
      <c r="X17" s="50">
        <f t="shared" si="43"/>
        <v>1157.0200909464743</v>
      </c>
      <c r="Y17" s="50">
        <f t="shared" si="43"/>
        <v>1107.4156341339633</v>
      </c>
      <c r="Z17" s="50">
        <f t="shared" si="43"/>
        <v>1417.3730833855104</v>
      </c>
      <c r="AA17" s="50">
        <f t="shared" si="43"/>
        <v>1529.2551664165953</v>
      </c>
      <c r="AB17" s="51">
        <f t="shared" si="43"/>
        <v>5211.0639748825452</v>
      </c>
      <c r="AC17" s="50">
        <f t="shared" si="43"/>
        <v>1562.3186303071755</v>
      </c>
      <c r="AD17" s="50">
        <f t="shared" si="43"/>
        <v>1297.7843273790525</v>
      </c>
      <c r="AE17" s="50">
        <f t="shared" si="43"/>
        <v>1600.4493556014743</v>
      </c>
      <c r="AF17" s="50">
        <f t="shared" si="43"/>
        <v>1583.020447229733</v>
      </c>
      <c r="AG17" s="51">
        <f t="shared" si="43"/>
        <v>6043.572760517437</v>
      </c>
      <c r="AH17" s="50">
        <f t="shared" si="43"/>
        <v>1820.4732418221386</v>
      </c>
      <c r="AI17" s="50">
        <f t="shared" si="43"/>
        <v>1528.4975455599499</v>
      </c>
      <c r="AJ17" s="50">
        <f t="shared" si="43"/>
        <v>1941.4353282223904</v>
      </c>
      <c r="AK17" s="50">
        <f t="shared" si="43"/>
        <v>1863.8561066296727</v>
      </c>
      <c r="AL17" s="51">
        <f t="shared" si="43"/>
        <v>7154.2622222341497</v>
      </c>
      <c r="AM17" s="50">
        <f t="shared" si="43"/>
        <v>2039.2045585748976</v>
      </c>
      <c r="AN17" s="50">
        <f t="shared" si="43"/>
        <v>1706.1639819015629</v>
      </c>
      <c r="AO17" s="50">
        <f t="shared" si="43"/>
        <v>2135.6768576086351</v>
      </c>
      <c r="AP17" s="50">
        <f t="shared" si="43"/>
        <v>2041.1115527760642</v>
      </c>
      <c r="AQ17" s="51">
        <f t="shared" si="43"/>
        <v>7922.1569508611619</v>
      </c>
      <c r="AR17" s="50">
        <f t="shared" ref="AR17:AV17" si="44">AR8-AR15+AR16</f>
        <v>2168.045897422634</v>
      </c>
      <c r="AS17" s="50">
        <f t="shared" si="44"/>
        <v>1812.9913620688305</v>
      </c>
      <c r="AT17" s="50">
        <f t="shared" si="44"/>
        <v>2267.7516158585468</v>
      </c>
      <c r="AU17" s="50">
        <f t="shared" si="44"/>
        <v>2169.8217984513785</v>
      </c>
      <c r="AV17" s="51">
        <f t="shared" si="44"/>
        <v>8418.6106738014023</v>
      </c>
    </row>
    <row r="18" spans="1:48" ht="16.2" x14ac:dyDescent="0.45">
      <c r="B18" s="123" t="s">
        <v>70</v>
      </c>
      <c r="C18" s="88"/>
      <c r="D18" s="107">
        <f>+D170</f>
        <v>138</v>
      </c>
      <c r="E18" s="107">
        <f>+E170</f>
        <v>141.4</v>
      </c>
      <c r="F18" s="107">
        <f>+F170</f>
        <v>125.30000000000001</v>
      </c>
      <c r="G18" s="107">
        <f>+G170</f>
        <v>77.399999999999991</v>
      </c>
      <c r="H18" s="176">
        <f>SUM(D18:G18)</f>
        <v>482.09999999999997</v>
      </c>
      <c r="I18" s="107">
        <f>+I170</f>
        <v>71.599999999999994</v>
      </c>
      <c r="J18" s="107">
        <f>+J170</f>
        <v>66.8</v>
      </c>
      <c r="K18" s="107">
        <f>+K170</f>
        <v>173.67999999999998</v>
      </c>
      <c r="L18" s="89">
        <f>+L170</f>
        <v>259.5</v>
      </c>
      <c r="M18" s="90">
        <f>SUM(I18:L18)</f>
        <v>571.57999999999993</v>
      </c>
      <c r="N18" s="107">
        <f>+N170</f>
        <v>134.9</v>
      </c>
      <c r="O18" s="107">
        <f>+O170</f>
        <v>88.2</v>
      </c>
      <c r="P18" s="107">
        <f>+P170</f>
        <v>51.7</v>
      </c>
      <c r="Q18" s="107">
        <f>+Q170</f>
        <v>115.2</v>
      </c>
      <c r="R18" s="176">
        <f>SUM(N18:Q18)</f>
        <v>390</v>
      </c>
      <c r="S18" s="89">
        <f>+S170</f>
        <v>35.199999999999996</v>
      </c>
      <c r="T18" s="89">
        <f>+T170</f>
        <v>47.5</v>
      </c>
      <c r="U18" s="89">
        <f>+U170</f>
        <v>77.5</v>
      </c>
      <c r="V18" s="89">
        <f>+V170</f>
        <v>114</v>
      </c>
      <c r="W18" s="176">
        <f>SUM(S18:V18)</f>
        <v>274.2</v>
      </c>
      <c r="X18" s="89">
        <f>+X170</f>
        <v>114</v>
      </c>
      <c r="Y18" s="89">
        <f>+Y170</f>
        <v>64</v>
      </c>
      <c r="Z18" s="89">
        <f>+Z170</f>
        <v>64</v>
      </c>
      <c r="AA18" s="89">
        <f>+AA170</f>
        <v>64</v>
      </c>
      <c r="AB18" s="90">
        <f>SUM(X18:AA18)</f>
        <v>306</v>
      </c>
      <c r="AC18" s="89">
        <f t="shared" ref="AC18:AF18" si="45">+AC170</f>
        <v>64</v>
      </c>
      <c r="AD18" s="89">
        <f t="shared" si="45"/>
        <v>64</v>
      </c>
      <c r="AE18" s="89">
        <f t="shared" si="45"/>
        <v>64</v>
      </c>
      <c r="AF18" s="89">
        <f t="shared" si="45"/>
        <v>64</v>
      </c>
      <c r="AG18" s="90">
        <f>SUM(AC18:AF18)</f>
        <v>256</v>
      </c>
      <c r="AH18" s="89">
        <f t="shared" ref="AH18:AK18" si="46">+AH170</f>
        <v>64</v>
      </c>
      <c r="AI18" s="89">
        <f t="shared" si="46"/>
        <v>64</v>
      </c>
      <c r="AJ18" s="89">
        <f t="shared" si="46"/>
        <v>64</v>
      </c>
      <c r="AK18" s="89">
        <f t="shared" si="46"/>
        <v>64</v>
      </c>
      <c r="AL18" s="90">
        <f>SUM(AH18:AK18)</f>
        <v>256</v>
      </c>
      <c r="AM18" s="89">
        <f t="shared" ref="AM18:AP18" si="47">+AM170</f>
        <v>64</v>
      </c>
      <c r="AN18" s="89">
        <f t="shared" si="47"/>
        <v>64</v>
      </c>
      <c r="AO18" s="89">
        <f t="shared" si="47"/>
        <v>64</v>
      </c>
      <c r="AP18" s="89">
        <f t="shared" si="47"/>
        <v>64</v>
      </c>
      <c r="AQ18" s="90">
        <f>SUM(AM18:AP18)</f>
        <v>256</v>
      </c>
      <c r="AR18" s="89">
        <f t="shared" ref="AR18:AU18" si="48">+AR170</f>
        <v>64</v>
      </c>
      <c r="AS18" s="89">
        <f t="shared" si="48"/>
        <v>64</v>
      </c>
      <c r="AT18" s="89">
        <f t="shared" si="48"/>
        <v>64</v>
      </c>
      <c r="AU18" s="89">
        <f t="shared" si="48"/>
        <v>64</v>
      </c>
      <c r="AV18" s="90">
        <f>SUM(AR18:AU18)</f>
        <v>256</v>
      </c>
    </row>
    <row r="19" spans="1:48" x14ac:dyDescent="0.3">
      <c r="B19" s="124" t="s">
        <v>71</v>
      </c>
      <c r="C19" s="79"/>
      <c r="D19" s="108">
        <f t="shared" ref="D19:AQ19" si="49">+D17+D18</f>
        <v>1153.7000000000005</v>
      </c>
      <c r="E19" s="108">
        <f t="shared" si="49"/>
        <v>999.09999999999957</v>
      </c>
      <c r="F19" s="108">
        <f t="shared" si="49"/>
        <v>1246.600000000001</v>
      </c>
      <c r="G19" s="108">
        <f t="shared" si="49"/>
        <v>1160.6000000000013</v>
      </c>
      <c r="H19" s="177">
        <f t="shared" si="49"/>
        <v>4560.0000000000055</v>
      </c>
      <c r="I19" s="108">
        <f t="shared" si="49"/>
        <v>1291.3999999999987</v>
      </c>
      <c r="J19" s="108">
        <f t="shared" si="49"/>
        <v>554.19999999999902</v>
      </c>
      <c r="K19" s="108">
        <f t="shared" si="49"/>
        <v>-530.21999999999935</v>
      </c>
      <c r="L19" s="80">
        <f t="shared" si="49"/>
        <v>817.80000000000041</v>
      </c>
      <c r="M19" s="81">
        <f t="shared" si="49"/>
        <v>2133.1800000000044</v>
      </c>
      <c r="N19" s="108">
        <f t="shared" si="49"/>
        <v>1048.4000000000003</v>
      </c>
      <c r="O19" s="108">
        <f t="shared" si="49"/>
        <v>1075.8</v>
      </c>
      <c r="P19" s="108">
        <f t="shared" si="49"/>
        <v>1540.399999999999</v>
      </c>
      <c r="Q19" s="108">
        <f t="shared" si="49"/>
        <v>1597.3999999999999</v>
      </c>
      <c r="R19" s="177">
        <f t="shared" si="49"/>
        <v>5261.9999999999973</v>
      </c>
      <c r="S19" s="80">
        <f t="shared" si="49"/>
        <v>1213</v>
      </c>
      <c r="T19" s="80">
        <f t="shared" si="49"/>
        <v>996.4000000000002</v>
      </c>
      <c r="U19" s="80">
        <f t="shared" si="49"/>
        <v>1372.9999999999995</v>
      </c>
      <c r="V19" s="80">
        <f t="shared" si="49"/>
        <v>1220.8835609451121</v>
      </c>
      <c r="W19" s="177">
        <f t="shared" si="49"/>
        <v>4803.283560945104</v>
      </c>
      <c r="X19" s="80">
        <f t="shared" si="49"/>
        <v>1271.0200909464743</v>
      </c>
      <c r="Y19" s="80">
        <f t="shared" si="49"/>
        <v>1171.4156341339633</v>
      </c>
      <c r="Z19" s="80">
        <f t="shared" si="49"/>
        <v>1481.3730833855104</v>
      </c>
      <c r="AA19" s="80">
        <f t="shared" si="49"/>
        <v>1593.2551664165953</v>
      </c>
      <c r="AB19" s="81">
        <f t="shared" si="49"/>
        <v>5517.0639748825452</v>
      </c>
      <c r="AC19" s="80">
        <f t="shared" si="49"/>
        <v>1626.3186303071755</v>
      </c>
      <c r="AD19" s="80">
        <f t="shared" si="49"/>
        <v>1361.7843273790525</v>
      </c>
      <c r="AE19" s="80">
        <f t="shared" si="49"/>
        <v>1664.4493556014743</v>
      </c>
      <c r="AF19" s="80">
        <f t="shared" si="49"/>
        <v>1647.020447229733</v>
      </c>
      <c r="AG19" s="81">
        <f t="shared" si="49"/>
        <v>6299.572760517437</v>
      </c>
      <c r="AH19" s="80">
        <f t="shared" si="49"/>
        <v>1884.4732418221386</v>
      </c>
      <c r="AI19" s="80">
        <f t="shared" si="49"/>
        <v>1592.4975455599499</v>
      </c>
      <c r="AJ19" s="80">
        <f t="shared" si="49"/>
        <v>2005.4353282223904</v>
      </c>
      <c r="AK19" s="80">
        <f t="shared" si="49"/>
        <v>1927.8561066296727</v>
      </c>
      <c r="AL19" s="81">
        <f t="shared" si="49"/>
        <v>7410.2622222341497</v>
      </c>
      <c r="AM19" s="80">
        <f t="shared" si="49"/>
        <v>2103.2045585748974</v>
      </c>
      <c r="AN19" s="80">
        <f t="shared" si="49"/>
        <v>1770.1639819015629</v>
      </c>
      <c r="AO19" s="80">
        <f t="shared" si="49"/>
        <v>2199.6768576086351</v>
      </c>
      <c r="AP19" s="80">
        <f t="shared" si="49"/>
        <v>2105.1115527760639</v>
      </c>
      <c r="AQ19" s="81">
        <f t="shared" si="49"/>
        <v>8178.1569508611619</v>
      </c>
      <c r="AR19" s="80">
        <f t="shared" ref="AR19:AV19" si="50">+AR17+AR18</f>
        <v>2232.045897422634</v>
      </c>
      <c r="AS19" s="80">
        <f t="shared" si="50"/>
        <v>1876.9913620688305</v>
      </c>
      <c r="AT19" s="80">
        <f t="shared" si="50"/>
        <v>2331.7516158585468</v>
      </c>
      <c r="AU19" s="80">
        <f t="shared" si="50"/>
        <v>2233.8217984513785</v>
      </c>
      <c r="AV19" s="81">
        <f t="shared" si="50"/>
        <v>8674.6106738014023</v>
      </c>
    </row>
    <row r="20" spans="1:48" x14ac:dyDescent="0.3">
      <c r="B20" s="38" t="s">
        <v>63</v>
      </c>
      <c r="C20" s="18"/>
      <c r="D20" s="105">
        <v>0</v>
      </c>
      <c r="E20" s="105">
        <v>21</v>
      </c>
      <c r="F20" s="105">
        <v>601.79999999999995</v>
      </c>
      <c r="G20" s="105">
        <f t="shared" ref="G20:G22" si="51">H20-F20-E20-D20</f>
        <v>0</v>
      </c>
      <c r="H20" s="170">
        <v>622.79999999999995</v>
      </c>
      <c r="I20" s="105">
        <v>0</v>
      </c>
      <c r="J20" s="105">
        <v>0</v>
      </c>
      <c r="K20" s="105">
        <v>0</v>
      </c>
      <c r="L20" s="105">
        <v>0</v>
      </c>
      <c r="M20" s="170">
        <f>SUM(I20:L20)</f>
        <v>0</v>
      </c>
      <c r="N20" s="105">
        <v>0</v>
      </c>
      <c r="O20" s="105">
        <v>0</v>
      </c>
      <c r="P20" s="105">
        <v>0</v>
      </c>
      <c r="Q20" s="105">
        <v>864.5</v>
      </c>
      <c r="R20" s="170">
        <f>SUM(N20:Q20)</f>
        <v>864.5</v>
      </c>
      <c r="S20" s="105">
        <v>0</v>
      </c>
      <c r="T20" s="105">
        <v>0</v>
      </c>
      <c r="U20" s="105">
        <v>0</v>
      </c>
      <c r="V20" s="105">
        <v>0</v>
      </c>
      <c r="W20" s="170">
        <f>SUM(S20:V20)</f>
        <v>0</v>
      </c>
      <c r="X20" s="105">
        <v>0</v>
      </c>
      <c r="Y20" s="105">
        <v>0</v>
      </c>
      <c r="Z20" s="105">
        <v>0</v>
      </c>
      <c r="AA20" s="105">
        <v>0</v>
      </c>
      <c r="AB20" s="170">
        <f>SUM(X20:AA20)</f>
        <v>0</v>
      </c>
      <c r="AC20" s="105">
        <v>0</v>
      </c>
      <c r="AD20" s="105">
        <v>0</v>
      </c>
      <c r="AE20" s="105">
        <v>0</v>
      </c>
      <c r="AF20" s="105">
        <v>0</v>
      </c>
      <c r="AG20" s="170">
        <f>SUM(AC20:AF20)</f>
        <v>0</v>
      </c>
      <c r="AH20" s="105">
        <v>0</v>
      </c>
      <c r="AI20" s="105">
        <v>0</v>
      </c>
      <c r="AJ20" s="105">
        <v>0</v>
      </c>
      <c r="AK20" s="105">
        <v>0</v>
      </c>
      <c r="AL20" s="170">
        <f>SUM(AH20:AK20)</f>
        <v>0</v>
      </c>
      <c r="AM20" s="105">
        <v>0</v>
      </c>
      <c r="AN20" s="105">
        <v>0</v>
      </c>
      <c r="AO20" s="105">
        <v>0</v>
      </c>
      <c r="AP20" s="105">
        <v>0</v>
      </c>
      <c r="AQ20" s="170">
        <f>SUM(AM20:AP20)</f>
        <v>0</v>
      </c>
      <c r="AR20" s="105">
        <v>0</v>
      </c>
      <c r="AS20" s="105">
        <v>0</v>
      </c>
      <c r="AT20" s="105">
        <v>0</v>
      </c>
      <c r="AU20" s="105">
        <v>0</v>
      </c>
      <c r="AV20" s="170">
        <f>SUM(AR20:AU20)</f>
        <v>0</v>
      </c>
    </row>
    <row r="21" spans="1:48" x14ac:dyDescent="0.3">
      <c r="B21" s="38" t="s">
        <v>37</v>
      </c>
      <c r="C21" s="18"/>
      <c r="D21" s="105">
        <v>24.8</v>
      </c>
      <c r="E21" s="105">
        <v>15.2</v>
      </c>
      <c r="F21" s="102">
        <v>40.200000000000003</v>
      </c>
      <c r="G21" s="105">
        <f t="shared" si="51"/>
        <v>16.299999999999994</v>
      </c>
      <c r="H21" s="170">
        <v>96.5</v>
      </c>
      <c r="I21" s="105">
        <v>15.9</v>
      </c>
      <c r="J21" s="105">
        <v>2</v>
      </c>
      <c r="K21" s="105">
        <v>12.7</v>
      </c>
      <c r="L21" s="105">
        <v>9.1</v>
      </c>
      <c r="M21" s="170">
        <f t="shared" ref="M21:M22" si="52">SUM(I21:L21)</f>
        <v>39.699999999999996</v>
      </c>
      <c r="N21" s="105">
        <v>15.5</v>
      </c>
      <c r="O21" s="105">
        <v>17.3</v>
      </c>
      <c r="P21" s="105">
        <v>36</v>
      </c>
      <c r="Q21" s="105">
        <v>21.5</v>
      </c>
      <c r="R21" s="170">
        <f t="shared" ref="R21" si="53">SUM(N21:Q21)</f>
        <v>90.3</v>
      </c>
      <c r="S21" s="105">
        <v>-0.1</v>
      </c>
      <c r="T21" s="105">
        <v>46.3</v>
      </c>
      <c r="U21" s="105">
        <v>19.8</v>
      </c>
      <c r="V21" s="105">
        <f>('BS (Base-Case)'!U6+'BS (Base-Case)'!U7+'BS (Base-Case)'!U12)*'IS (Base-Case)'!V144</f>
        <v>21.215247784595928</v>
      </c>
      <c r="W21" s="170">
        <f t="shared" ref="W21" si="54">SUM(S21:V21)</f>
        <v>87.215247784595931</v>
      </c>
      <c r="X21" s="105">
        <f>('BS (Base-Case)'!V6+'BS (Base-Case)'!V7+'BS (Base-Case)'!V12)*'IS (Base-Case)'!X144</f>
        <v>30.755283736014132</v>
      </c>
      <c r="Y21" s="105">
        <f>('BS (Base-Case)'!X6+'BS (Base-Case)'!X7+'BS (Base-Case)'!X12)*'IS (Base-Case)'!Y144</f>
        <v>54.517429100407341</v>
      </c>
      <c r="Z21" s="105">
        <f>('BS (Base-Case)'!Y6+'BS (Base-Case)'!Y7+'BS (Base-Case)'!Y12)*'IS (Base-Case)'!Z144</f>
        <v>47.668463360912277</v>
      </c>
      <c r="AA21" s="105">
        <f>('BS (Base-Case)'!Z6+'BS (Base-Case)'!Z7+'BS (Base-Case)'!Z12)*'IS (Base-Case)'!AA144</f>
        <v>28.034316718811734</v>
      </c>
      <c r="AB21" s="170">
        <f t="shared" ref="AB21" si="55">SUM(X21:AA21)</f>
        <v>160.9754929161455</v>
      </c>
      <c r="AC21" s="105">
        <f>('BS (Base-Case)'!AA6+'BS (Base-Case)'!AA7+'BS (Base-Case)'!AA12)*'IS (Base-Case)'!AC144</f>
        <v>33.124893625949944</v>
      </c>
      <c r="AD21" s="105">
        <f>('BS (Base-Case)'!AC6+'BS (Base-Case)'!AC7+'BS (Base-Case)'!AC12)*'IS (Base-Case)'!AD144</f>
        <v>39.980882250174879</v>
      </c>
      <c r="AE21" s="105">
        <f>('BS (Base-Case)'!AD6+'BS (Base-Case)'!AD7+'BS (Base-Case)'!AD12)*'IS (Base-Case)'!AE144</f>
        <v>37.931444644824879</v>
      </c>
      <c r="AF21" s="105">
        <f>('BS (Base-Case)'!AE6+'BS (Base-Case)'!AE7+'BS (Base-Case)'!AE12)*'IS (Base-Case)'!AF144</f>
        <v>38.2840264704503</v>
      </c>
      <c r="AG21" s="170">
        <f t="shared" ref="AG21:AG22" si="56">SUM(AC21:AF21)</f>
        <v>149.32124699140002</v>
      </c>
      <c r="AH21" s="105">
        <f>('BS (Base-Case)'!AF6+'BS (Base-Case)'!AF7+'BS (Base-Case)'!AF12)*'IS (Base-Case)'!AH144</f>
        <v>42.934701355133072</v>
      </c>
      <c r="AI21" s="105">
        <f>('BS (Base-Case)'!AH6+'BS (Base-Case)'!AH7+'BS (Base-Case)'!AH12)*'IS (Base-Case)'!AI144</f>
        <v>50.462326735658735</v>
      </c>
      <c r="AJ21" s="105">
        <f>('BS (Base-Case)'!AI6+'BS (Base-Case)'!AI7+'BS (Base-Case)'!AI12)*'IS (Base-Case)'!AJ144</f>
        <v>48.431659720053787</v>
      </c>
      <c r="AK21" s="105">
        <f>('BS (Base-Case)'!AJ6+'BS (Base-Case)'!AJ7+'BS (Base-Case)'!AJ12)*'IS (Base-Case)'!AK144</f>
        <v>51.566724219566716</v>
      </c>
      <c r="AL21" s="170">
        <f t="shared" ref="AL21:AL22" si="57">SUM(AH21:AK21)</f>
        <v>193.3954120304123</v>
      </c>
      <c r="AM21" s="105">
        <f>('BS (Base-Case)'!AK6+'BS (Base-Case)'!AK7+'BS (Base-Case)'!AK12)*'IS (Base-Case)'!AM144</f>
        <v>15.399670480030839</v>
      </c>
      <c r="AN21" s="105">
        <f>('BS (Base-Case)'!AM6+'BS (Base-Case)'!AM7+'BS (Base-Case)'!AM12)*'IS (Base-Case)'!AN144</f>
        <v>23.027474566188776</v>
      </c>
      <c r="AO21" s="105">
        <f>('BS (Base-Case)'!AN6+'BS (Base-Case)'!AN7+'BS (Base-Case)'!AN12)*'IS (Base-Case)'!AO144</f>
        <v>19.778764301820225</v>
      </c>
      <c r="AP21" s="105">
        <f>('BS (Base-Case)'!AO6+'BS (Base-Case)'!AO7+'BS (Base-Case)'!AO12)*'IS (Base-Case)'!AP144</f>
        <v>20.304975604850974</v>
      </c>
      <c r="AQ21" s="170">
        <f t="shared" ref="AQ21:AQ22" si="58">SUM(AM21:AP21)</f>
        <v>78.510884952890819</v>
      </c>
      <c r="AR21" s="105">
        <f>('BS (Base-Case)'!AP6+'BS (Base-Case)'!AP7+'BS (Base-Case)'!AP12)*'IS (Base-Case)'!AR144</f>
        <v>26.511278363499681</v>
      </c>
      <c r="AS21" s="105">
        <f>('BS (Base-Case)'!AR6+'BS (Base-Case)'!AR7+'BS (Base-Case)'!AR12)*'IS (Base-Case)'!AS144</f>
        <v>35.880499448104139</v>
      </c>
      <c r="AT21" s="105">
        <f>('BS (Base-Case)'!AS6+'BS (Base-Case)'!AS7+'BS (Base-Case)'!AS12)*'IS (Base-Case)'!AT144</f>
        <v>33.353042465034228</v>
      </c>
      <c r="AU21" s="105">
        <f>('BS (Base-Case)'!AT6+'BS (Base-Case)'!AT7+'BS (Base-Case)'!AT12)*'IS (Base-Case)'!AU144</f>
        <v>34.943968799625921</v>
      </c>
      <c r="AV21" s="170">
        <f t="shared" ref="AV21:AV22" si="59">SUM(AR21:AU21)</f>
        <v>130.68878907626396</v>
      </c>
    </row>
    <row r="22" spans="1:48" ht="16.2" x14ac:dyDescent="0.45">
      <c r="B22" s="38" t="s">
        <v>38</v>
      </c>
      <c r="C22" s="356"/>
      <c r="D22" s="104">
        <v>-75</v>
      </c>
      <c r="E22" s="104">
        <v>-73.900000000000006</v>
      </c>
      <c r="F22" s="104">
        <v>-86.4</v>
      </c>
      <c r="G22" s="104">
        <f t="shared" si="51"/>
        <v>-95.699999999999989</v>
      </c>
      <c r="H22" s="173">
        <v>-331</v>
      </c>
      <c r="I22" s="104">
        <v>-91.9</v>
      </c>
      <c r="J22" s="104">
        <v>-99.2</v>
      </c>
      <c r="K22" s="104">
        <v>-120.8</v>
      </c>
      <c r="L22" s="104">
        <v>-125</v>
      </c>
      <c r="M22" s="173">
        <f t="shared" si="52"/>
        <v>-436.90000000000003</v>
      </c>
      <c r="N22" s="104">
        <v>-120.7</v>
      </c>
      <c r="O22" s="104">
        <v>-115</v>
      </c>
      <c r="P22" s="104">
        <v>-113.4</v>
      </c>
      <c r="Q22" s="104">
        <v>-120.6</v>
      </c>
      <c r="R22" s="173">
        <f t="shared" ref="R22" si="60">SUM(N22:Q22)</f>
        <v>-469.70000000000005</v>
      </c>
      <c r="S22" s="104">
        <v>-115.3</v>
      </c>
      <c r="T22" s="104">
        <v>-119.1</v>
      </c>
      <c r="U22" s="104">
        <v>-123.1</v>
      </c>
      <c r="V22" s="104">
        <f>-('BS (Base-Case)'!U28+'BS (Base-Case)'!U31)*V145</f>
        <v>-119.60932925321661</v>
      </c>
      <c r="W22" s="173">
        <f t="shared" ref="W22" si="61">SUM(S22:V22)</f>
        <v>-477.10932925321663</v>
      </c>
      <c r="X22" s="104">
        <f>-('BS (Base-Case)'!V28+'BS (Base-Case)'!V31)*X145</f>
        <v>-119.52922600531741</v>
      </c>
      <c r="Y22" s="104">
        <f>-('BS (Base-Case)'!X28+'BS (Base-Case)'!X31)*Y145</f>
        <v>-121.02231600531739</v>
      </c>
      <c r="Z22" s="104">
        <f>-('BS (Base-Case)'!Y28+'BS (Base-Case)'!Y31)*Z145</f>
        <v>-122.51540600531739</v>
      </c>
      <c r="AA22" s="104">
        <f>-('BS (Base-Case)'!Z28+'BS (Base-Case)'!Z31)*AA145</f>
        <v>-124.00849600531738</v>
      </c>
      <c r="AB22" s="173">
        <f t="shared" ref="AB22" si="62">SUM(X22:AA22)</f>
        <v>-487.07544402126962</v>
      </c>
      <c r="AC22" s="104">
        <f>-('BS (Base-Case)'!AA28+'BS (Base-Case)'!AA31)*AC145</f>
        <v>-125.50158600531738</v>
      </c>
      <c r="AD22" s="104">
        <f>-('BS (Base-Case)'!AC28+'BS (Base-Case)'!AC31)*AD145</f>
        <v>-126.99467600531736</v>
      </c>
      <c r="AE22" s="104">
        <f>-('BS (Base-Case)'!AD28+'BS (Base-Case)'!AD31)*AE145</f>
        <v>-128.48518435720496</v>
      </c>
      <c r="AF22" s="104">
        <f>-('BS (Base-Case)'!AE28+'BS (Base-Case)'!AE31)*AF145</f>
        <v>-129.97824435720494</v>
      </c>
      <c r="AG22" s="173">
        <f t="shared" si="56"/>
        <v>-510.95969072504465</v>
      </c>
      <c r="AH22" s="104">
        <f>-('BS (Base-Case)'!AF28+'BS (Base-Case)'!AF31)*AH145</f>
        <v>-132.35185372800854</v>
      </c>
      <c r="AI22" s="104">
        <f>-('BS (Base-Case)'!AH28+'BS (Base-Case)'!AH31)*AI145</f>
        <v>-133.85491372800854</v>
      </c>
      <c r="AJ22" s="104">
        <f>-('BS (Base-Case)'!AI28+'BS (Base-Case)'!AI31)*AJ145</f>
        <v>-135.35797372800852</v>
      </c>
      <c r="AK22" s="104">
        <f>-('BS (Base-Case)'!AJ28+'BS (Base-Case)'!AJ31)*AK145</f>
        <v>-185.03820093722791</v>
      </c>
      <c r="AL22" s="173">
        <f t="shared" si="57"/>
        <v>-586.60294212125348</v>
      </c>
      <c r="AM22" s="104">
        <f>-('BS (Base-Case)'!AK28+'BS (Base-Case)'!AK31)*AM145</f>
        <v>-185.03820093722791</v>
      </c>
      <c r="AN22" s="104">
        <f>-('BS (Base-Case)'!AM28+'BS (Base-Case)'!AM31)*AN145</f>
        <v>-185.03820093722791</v>
      </c>
      <c r="AO22" s="104">
        <f>-('BS (Base-Case)'!AN28+'BS (Base-Case)'!AN31)*AO145</f>
        <v>-185.03820093722791</v>
      </c>
      <c r="AP22" s="104">
        <f>-('BS (Base-Case)'!AO28+'BS (Base-Case)'!AO31)*AP145</f>
        <v>-185.03820093722791</v>
      </c>
      <c r="AQ22" s="173">
        <f t="shared" si="58"/>
        <v>-740.15280374891165</v>
      </c>
      <c r="AR22" s="104">
        <f>-('BS (Base-Case)'!AP28+'BS (Base-Case)'!AP31)*AR145</f>
        <v>-185.03820093722791</v>
      </c>
      <c r="AS22" s="104">
        <f>-('BS (Base-Case)'!AR28+'BS (Base-Case)'!AR31)*AS145</f>
        <v>-185.03820093722791</v>
      </c>
      <c r="AT22" s="104">
        <f>-('BS (Base-Case)'!AS28+'BS (Base-Case)'!AS31)*AT145</f>
        <v>-185.03820093722791</v>
      </c>
      <c r="AU22" s="104">
        <f>-('BS (Base-Case)'!AT28+'BS (Base-Case)'!AT31)*AU145</f>
        <v>-185.03820093722791</v>
      </c>
      <c r="AV22" s="173">
        <f t="shared" si="59"/>
        <v>-740.15280374891165</v>
      </c>
    </row>
    <row r="23" spans="1:48" x14ac:dyDescent="0.3">
      <c r="B23" s="463" t="s">
        <v>11</v>
      </c>
      <c r="C23" s="464"/>
      <c r="D23" s="103">
        <f t="shared" ref="D23:AQ23" si="63">D17+D21+D22+D20</f>
        <v>965.50000000000045</v>
      </c>
      <c r="E23" s="103">
        <f t="shared" si="63"/>
        <v>819.99999999999966</v>
      </c>
      <c r="F23" s="103">
        <f t="shared" si="63"/>
        <v>1676.900000000001</v>
      </c>
      <c r="G23" s="103">
        <f t="shared" si="63"/>
        <v>1003.8000000000011</v>
      </c>
      <c r="H23" s="171">
        <f t="shared" si="63"/>
        <v>4466.2000000000053</v>
      </c>
      <c r="I23" s="103">
        <f t="shared" si="63"/>
        <v>1143.7999999999988</v>
      </c>
      <c r="J23" s="103">
        <f t="shared" si="63"/>
        <v>390.19999999999908</v>
      </c>
      <c r="K23" s="103">
        <f t="shared" si="63"/>
        <v>-811.9999999999992</v>
      </c>
      <c r="L23" s="50">
        <f t="shared" si="63"/>
        <v>442.40000000000043</v>
      </c>
      <c r="M23" s="51">
        <f t="shared" si="63"/>
        <v>1164.4000000000044</v>
      </c>
      <c r="N23" s="50">
        <f t="shared" si="63"/>
        <v>808.30000000000018</v>
      </c>
      <c r="O23" s="103">
        <f t="shared" si="63"/>
        <v>889.9</v>
      </c>
      <c r="P23" s="103">
        <f t="shared" si="63"/>
        <v>1411.2999999999988</v>
      </c>
      <c r="Q23" s="103">
        <f>Q17+Q21+Q22+Q20</f>
        <v>2247.6</v>
      </c>
      <c r="R23" s="171">
        <f t="shared" si="63"/>
        <v>5357.0999999999976</v>
      </c>
      <c r="S23" s="50">
        <f t="shared" si="63"/>
        <v>1062.4000000000001</v>
      </c>
      <c r="T23" s="50">
        <f t="shared" si="63"/>
        <v>876.10000000000014</v>
      </c>
      <c r="U23" s="50">
        <f t="shared" si="63"/>
        <v>1192.1999999999996</v>
      </c>
      <c r="V23" s="50">
        <f t="shared" si="63"/>
        <v>1008.4894794764914</v>
      </c>
      <c r="W23" s="171">
        <f t="shared" si="63"/>
        <v>4139.189479476483</v>
      </c>
      <c r="X23" s="50">
        <f t="shared" si="63"/>
        <v>1068.246148677171</v>
      </c>
      <c r="Y23" s="50">
        <f t="shared" si="63"/>
        <v>1040.9107472290532</v>
      </c>
      <c r="Z23" s="50">
        <f t="shared" si="63"/>
        <v>1342.5261407411053</v>
      </c>
      <c r="AA23" s="50">
        <f t="shared" si="63"/>
        <v>1433.2809871300897</v>
      </c>
      <c r="AB23" s="51">
        <f t="shared" si="63"/>
        <v>4884.9640237774211</v>
      </c>
      <c r="AC23" s="50">
        <f t="shared" si="63"/>
        <v>1469.9419379278079</v>
      </c>
      <c r="AD23" s="50">
        <f t="shared" si="63"/>
        <v>1210.7705336239098</v>
      </c>
      <c r="AE23" s="50">
        <f t="shared" si="63"/>
        <v>1509.8956158890942</v>
      </c>
      <c r="AF23" s="50">
        <f t="shared" si="63"/>
        <v>1491.3262293429784</v>
      </c>
      <c r="AG23" s="51">
        <f t="shared" si="63"/>
        <v>5681.9343167837924</v>
      </c>
      <c r="AH23" s="50">
        <f t="shared" si="63"/>
        <v>1731.056089449263</v>
      </c>
      <c r="AI23" s="50">
        <f t="shared" si="63"/>
        <v>1445.1049585676001</v>
      </c>
      <c r="AJ23" s="50">
        <f t="shared" si="63"/>
        <v>1854.5090142144356</v>
      </c>
      <c r="AK23" s="50">
        <f t="shared" si="63"/>
        <v>1730.3846299120116</v>
      </c>
      <c r="AL23" s="51">
        <f t="shared" si="63"/>
        <v>6761.0546921433088</v>
      </c>
      <c r="AM23" s="50">
        <f t="shared" si="63"/>
        <v>1869.5660281177006</v>
      </c>
      <c r="AN23" s="50">
        <f t="shared" si="63"/>
        <v>1544.1532555305239</v>
      </c>
      <c r="AO23" s="50">
        <f t="shared" si="63"/>
        <v>1970.4174209732273</v>
      </c>
      <c r="AP23" s="50">
        <f t="shared" si="63"/>
        <v>1876.3783274436873</v>
      </c>
      <c r="AQ23" s="51">
        <f t="shared" si="63"/>
        <v>7260.515032065141</v>
      </c>
      <c r="AR23" s="50">
        <f t="shared" ref="AR23:AV23" si="64">AR17+AR21+AR22+AR20</f>
        <v>2009.5189748489056</v>
      </c>
      <c r="AS23" s="50">
        <f t="shared" si="64"/>
        <v>1663.8336605797067</v>
      </c>
      <c r="AT23" s="50">
        <f t="shared" si="64"/>
        <v>2116.0664573863532</v>
      </c>
      <c r="AU23" s="50">
        <f t="shared" si="64"/>
        <v>2019.7275663137766</v>
      </c>
      <c r="AV23" s="51">
        <f t="shared" si="64"/>
        <v>7809.1466591287553</v>
      </c>
    </row>
    <row r="24" spans="1:48" ht="16.2" x14ac:dyDescent="0.45">
      <c r="B24" s="465" t="s">
        <v>5</v>
      </c>
      <c r="C24" s="466"/>
      <c r="D24" s="104">
        <v>205.1</v>
      </c>
      <c r="E24" s="104">
        <v>161.19999999999999</v>
      </c>
      <c r="F24" s="104">
        <v>303.7</v>
      </c>
      <c r="G24" s="104">
        <f t="shared" ref="G24" si="65">H24-F24-E24-D24</f>
        <v>201.60000000000011</v>
      </c>
      <c r="H24" s="173">
        <v>871.6</v>
      </c>
      <c r="I24" s="104">
        <v>258.5</v>
      </c>
      <c r="J24" s="104">
        <v>65.400000000000006</v>
      </c>
      <c r="K24" s="104">
        <v>-133.9</v>
      </c>
      <c r="L24" s="52">
        <v>49.7</v>
      </c>
      <c r="M24" s="53">
        <f>SUM(I24:L24)</f>
        <v>239.7</v>
      </c>
      <c r="N24" s="52">
        <v>186.1</v>
      </c>
      <c r="O24" s="104">
        <v>230.5</v>
      </c>
      <c r="P24" s="104">
        <v>257.10000000000002</v>
      </c>
      <c r="Q24" s="104">
        <v>483</v>
      </c>
      <c r="R24" s="173">
        <f>SUM(N24:Q24)</f>
        <v>1156.7</v>
      </c>
      <c r="S24" s="52">
        <v>246.3</v>
      </c>
      <c r="T24" s="52">
        <v>201.1</v>
      </c>
      <c r="U24" s="52">
        <v>278.5</v>
      </c>
      <c r="V24" s="52">
        <f>+V23*V143</f>
        <v>242.03747507435793</v>
      </c>
      <c r="W24" s="173">
        <f>SUM(S24:V24)</f>
        <v>967.93747507435796</v>
      </c>
      <c r="X24" s="52">
        <f>+X23*X143</f>
        <v>261.72030642590693</v>
      </c>
      <c r="Y24" s="52">
        <f>+Y23*Y143</f>
        <v>255.02313307111802</v>
      </c>
      <c r="Z24" s="52">
        <f>+Z23*Z143</f>
        <v>328.91890448157079</v>
      </c>
      <c r="AA24" s="52">
        <f>+AA23*AA143</f>
        <v>351.15384184687196</v>
      </c>
      <c r="AB24" s="53">
        <f>SUM(X24:AA24)</f>
        <v>1196.8161858254678</v>
      </c>
      <c r="AC24" s="52">
        <f>+AC23*AC143</f>
        <v>360.13577479231293</v>
      </c>
      <c r="AD24" s="52">
        <f>+AD23*AD143</f>
        <v>296.63878073785793</v>
      </c>
      <c r="AE24" s="52">
        <f>+AE23*AE143</f>
        <v>369.92442589282808</v>
      </c>
      <c r="AF24" s="52">
        <f>+AF23*AF143</f>
        <v>365.37492618902968</v>
      </c>
      <c r="AG24" s="53">
        <f>SUM(AC24:AF24)</f>
        <v>1392.0739076120285</v>
      </c>
      <c r="AH24" s="52">
        <f>+AH23*AH143</f>
        <v>424.10874191506946</v>
      </c>
      <c r="AI24" s="52">
        <f>+AI23*AI143</f>
        <v>354.05071484906199</v>
      </c>
      <c r="AJ24" s="52">
        <f>+AJ23*AJ143</f>
        <v>454.35470848253675</v>
      </c>
      <c r="AK24" s="52">
        <f>+AK23*AK143</f>
        <v>423.94423432844286</v>
      </c>
      <c r="AL24" s="53">
        <f>SUM(AH24:AK24)</f>
        <v>1656.4583995751111</v>
      </c>
      <c r="AM24" s="52">
        <f>+AM23*AM143</f>
        <v>458.04367688883667</v>
      </c>
      <c r="AN24" s="52">
        <f>+AN23*AN143</f>
        <v>378.31754760497836</v>
      </c>
      <c r="AO24" s="52">
        <f>+AO23*AO143</f>
        <v>482.75226813844068</v>
      </c>
      <c r="AP24" s="52">
        <f>+AP23*AP143</f>
        <v>459.71269022370336</v>
      </c>
      <c r="AQ24" s="53">
        <f>SUM(AM24:AP24)</f>
        <v>1778.8261828559589</v>
      </c>
      <c r="AR24" s="52">
        <f>+AR23*AR143</f>
        <v>492.33214883798189</v>
      </c>
      <c r="AS24" s="52">
        <f>+AS23*AS143</f>
        <v>407.63924684202811</v>
      </c>
      <c r="AT24" s="52">
        <f>+AT23*AT143</f>
        <v>518.43628205965649</v>
      </c>
      <c r="AU24" s="52">
        <f>+AU23*AU143</f>
        <v>494.83325374687524</v>
      </c>
      <c r="AV24" s="53">
        <f>SUM(AR24:AU24)</f>
        <v>1913.2409314865417</v>
      </c>
    </row>
    <row r="25" spans="1:48" x14ac:dyDescent="0.3">
      <c r="A25" s="23"/>
      <c r="B25" s="463" t="s">
        <v>39</v>
      </c>
      <c r="C25" s="464"/>
      <c r="D25" s="103">
        <f t="shared" ref="D25:AQ25" si="66">+D23-D24</f>
        <v>760.40000000000043</v>
      </c>
      <c r="E25" s="103">
        <f t="shared" si="66"/>
        <v>658.79999999999973</v>
      </c>
      <c r="F25" s="103">
        <f t="shared" si="66"/>
        <v>1373.200000000001</v>
      </c>
      <c r="G25" s="103">
        <f t="shared" si="66"/>
        <v>802.20000000000095</v>
      </c>
      <c r="H25" s="171">
        <f t="shared" si="66"/>
        <v>3594.6000000000054</v>
      </c>
      <c r="I25" s="103">
        <f t="shared" si="66"/>
        <v>885.29999999999882</v>
      </c>
      <c r="J25" s="103">
        <f t="shared" si="66"/>
        <v>324.79999999999905</v>
      </c>
      <c r="K25" s="103">
        <f t="shared" si="66"/>
        <v>-678.09999999999923</v>
      </c>
      <c r="L25" s="50">
        <f t="shared" si="66"/>
        <v>392.70000000000044</v>
      </c>
      <c r="M25" s="51">
        <f t="shared" si="66"/>
        <v>924.70000000000437</v>
      </c>
      <c r="N25" s="50">
        <f t="shared" si="66"/>
        <v>622.20000000000016</v>
      </c>
      <c r="O25" s="103">
        <f t="shared" si="66"/>
        <v>659.4</v>
      </c>
      <c r="P25" s="103">
        <f t="shared" si="66"/>
        <v>1154.1999999999989</v>
      </c>
      <c r="Q25" s="103">
        <f>+Q23-Q24</f>
        <v>1764.6</v>
      </c>
      <c r="R25" s="171">
        <f t="shared" si="66"/>
        <v>4200.3999999999978</v>
      </c>
      <c r="S25" s="50">
        <f t="shared" si="66"/>
        <v>816.10000000000014</v>
      </c>
      <c r="T25" s="50">
        <f t="shared" si="66"/>
        <v>675.00000000000011</v>
      </c>
      <c r="U25" s="50">
        <f t="shared" si="66"/>
        <v>913.69999999999959</v>
      </c>
      <c r="V25" s="50">
        <f t="shared" si="66"/>
        <v>766.45200440213353</v>
      </c>
      <c r="W25" s="171">
        <f t="shared" si="66"/>
        <v>3171.2520044021248</v>
      </c>
      <c r="X25" s="50">
        <f t="shared" si="66"/>
        <v>806.52584225126407</v>
      </c>
      <c r="Y25" s="50">
        <f t="shared" si="66"/>
        <v>785.8876141579351</v>
      </c>
      <c r="Z25" s="50">
        <f t="shared" si="66"/>
        <v>1013.6072362595346</v>
      </c>
      <c r="AA25" s="50">
        <f t="shared" si="66"/>
        <v>1082.1271452832177</v>
      </c>
      <c r="AB25" s="51">
        <f t="shared" si="66"/>
        <v>3688.1478379519531</v>
      </c>
      <c r="AC25" s="50">
        <f t="shared" si="66"/>
        <v>1109.8061631354949</v>
      </c>
      <c r="AD25" s="50">
        <f t="shared" si="66"/>
        <v>914.13175288605191</v>
      </c>
      <c r="AE25" s="50">
        <f t="shared" si="66"/>
        <v>1139.971189996266</v>
      </c>
      <c r="AF25" s="103">
        <f t="shared" si="66"/>
        <v>1125.9513031539486</v>
      </c>
      <c r="AG25" s="171">
        <f t="shared" si="66"/>
        <v>4289.8604091717643</v>
      </c>
      <c r="AH25" s="103">
        <f t="shared" si="66"/>
        <v>1306.9473475341936</v>
      </c>
      <c r="AI25" s="103">
        <f t="shared" si="66"/>
        <v>1091.0542437185381</v>
      </c>
      <c r="AJ25" s="103">
        <f t="shared" si="66"/>
        <v>1400.1543057318988</v>
      </c>
      <c r="AK25" s="103">
        <f t="shared" si="66"/>
        <v>1306.4403955835687</v>
      </c>
      <c r="AL25" s="51">
        <f t="shared" si="66"/>
        <v>5104.5962925681979</v>
      </c>
      <c r="AM25" s="103">
        <f t="shared" si="66"/>
        <v>1411.522351228864</v>
      </c>
      <c r="AN25" s="103">
        <f t="shared" si="66"/>
        <v>1165.8357079255456</v>
      </c>
      <c r="AO25" s="103">
        <f t="shared" si="66"/>
        <v>1487.6651528347866</v>
      </c>
      <c r="AP25" s="103">
        <f t="shared" si="66"/>
        <v>1416.6656372199841</v>
      </c>
      <c r="AQ25" s="51">
        <f t="shared" si="66"/>
        <v>5481.6888492091821</v>
      </c>
      <c r="AR25" s="103">
        <f t="shared" ref="AR25:AV25" si="67">+AR23-AR24</f>
        <v>1517.1868260109236</v>
      </c>
      <c r="AS25" s="103">
        <f t="shared" si="67"/>
        <v>1256.1944137376786</v>
      </c>
      <c r="AT25" s="103">
        <f t="shared" si="67"/>
        <v>1597.6301753266966</v>
      </c>
      <c r="AU25" s="103">
        <f t="shared" si="67"/>
        <v>1524.8943125669014</v>
      </c>
      <c r="AV25" s="51">
        <f t="shared" si="67"/>
        <v>5895.9057276422136</v>
      </c>
    </row>
    <row r="26" spans="1:48" ht="16.2" x14ac:dyDescent="0.45">
      <c r="A26" s="23"/>
      <c r="B26" s="210" t="s">
        <v>40</v>
      </c>
      <c r="C26" s="201"/>
      <c r="D26" s="104">
        <v>-0.2</v>
      </c>
      <c r="E26" s="104">
        <v>-4.4000000000000004</v>
      </c>
      <c r="F26" s="104">
        <v>0.4</v>
      </c>
      <c r="G26" s="104">
        <f t="shared" ref="G26" si="68">H26-F26-E26-D26</f>
        <v>-0.39999999999999963</v>
      </c>
      <c r="H26" s="173">
        <v>-4.5999999999999996</v>
      </c>
      <c r="I26" s="104">
        <v>-0.4</v>
      </c>
      <c r="J26" s="104">
        <v>-3.6</v>
      </c>
      <c r="K26" s="104">
        <v>0.3</v>
      </c>
      <c r="L26" s="104">
        <v>0.1</v>
      </c>
      <c r="M26" s="173">
        <f>SUM(I26:L26)</f>
        <v>-3.6</v>
      </c>
      <c r="N26" s="104">
        <v>0</v>
      </c>
      <c r="O26" s="104">
        <v>0</v>
      </c>
      <c r="P26" s="104">
        <v>0.8</v>
      </c>
      <c r="Q26" s="104">
        <v>0.2</v>
      </c>
      <c r="R26" s="173">
        <f>SUM(N26:Q26)</f>
        <v>1</v>
      </c>
      <c r="S26" s="104">
        <v>0.2</v>
      </c>
      <c r="T26" s="104">
        <f>AVERAGE(S26,Q26,P26,O26)</f>
        <v>0.30000000000000004</v>
      </c>
      <c r="U26" s="104">
        <v>0.8</v>
      </c>
      <c r="V26" s="104">
        <f>AVERAGE(U26,T26,S26,Q26)</f>
        <v>0.375</v>
      </c>
      <c r="W26" s="173">
        <f>SUM(S26:V26)</f>
        <v>1.675</v>
      </c>
      <c r="X26" s="104">
        <f>AVERAGE(V26,U26,T26,S26)</f>
        <v>0.41875000000000001</v>
      </c>
      <c r="Y26" s="104">
        <f>AVERAGE(X26,V26,U26,T26)</f>
        <v>0.47343750000000001</v>
      </c>
      <c r="Z26" s="104">
        <f>AVERAGE(Y26,X26,V26,U26)</f>
        <v>0.51679687500000004</v>
      </c>
      <c r="AA26" s="104">
        <f>AVERAGE(Z26,Y26,X26,V26)</f>
        <v>0.44599609374999999</v>
      </c>
      <c r="AB26" s="173">
        <f>SUM(X26:AA26)</f>
        <v>1.8549804687500002</v>
      </c>
      <c r="AC26" s="104">
        <f>AVERAGE(AA26,Z26,Y26,X26)</f>
        <v>0.4637451171875</v>
      </c>
      <c r="AD26" s="104">
        <f>AVERAGE(AC26,AA26,Z26,Y26)</f>
        <v>0.47499389648437501</v>
      </c>
      <c r="AE26" s="104">
        <f>AVERAGE(AD26,AC26,AA26,Z26)</f>
        <v>0.47538299560546876</v>
      </c>
      <c r="AF26" s="104">
        <f>AVERAGE(AE26,AD26,AC26,AA26)</f>
        <v>0.46502952575683593</v>
      </c>
      <c r="AG26" s="173">
        <f>SUM(AC26:AF26)</f>
        <v>1.8791515350341796</v>
      </c>
      <c r="AH26" s="104">
        <f>AVERAGE(AF26,AE26,AD26,AC26)</f>
        <v>0.46978788375854491</v>
      </c>
      <c r="AI26" s="104">
        <f>AVERAGE(AH26,AF26,AE26,AD26)</f>
        <v>0.47129857540130615</v>
      </c>
      <c r="AJ26" s="104">
        <f>AVERAGE(AI26,AH26,AF26,AE26)</f>
        <v>0.47037474513053895</v>
      </c>
      <c r="AK26" s="104">
        <f>AVERAGE(AJ26,AI26,AH26,AF26)</f>
        <v>0.4691226825118065</v>
      </c>
      <c r="AL26" s="53">
        <f>SUM(AH26:AK26)</f>
        <v>1.8805838868021965</v>
      </c>
      <c r="AM26" s="104">
        <f>AVERAGE(AK26,AJ26,AI26,AH26)</f>
        <v>0.47014597170054911</v>
      </c>
      <c r="AN26" s="104">
        <f>AVERAGE(AM26,AK26,AJ26,AI26)</f>
        <v>0.47023549368605017</v>
      </c>
      <c r="AO26" s="104">
        <f>AVERAGE(AN26,AM26,AK26,AJ26)</f>
        <v>0.46996972325723618</v>
      </c>
      <c r="AP26" s="104">
        <f>AVERAGE(AO26,AN26,AM26,AK26)</f>
        <v>0.4698684677889105</v>
      </c>
      <c r="AQ26" s="53">
        <f>SUM(AM26:AP26)</f>
        <v>1.880219656432746</v>
      </c>
      <c r="AR26" s="104">
        <f>AVERAGE(AP26,AO26,AN26,AM26)</f>
        <v>0.47005491410818651</v>
      </c>
      <c r="AS26" s="104">
        <f>AVERAGE(AR26,AP26,AO26,AN26)</f>
        <v>0.47003214971009583</v>
      </c>
      <c r="AT26" s="104">
        <f>AVERAGE(AS26,AR26,AP26,AO26)</f>
        <v>0.46998131371610724</v>
      </c>
      <c r="AU26" s="104">
        <f>AVERAGE(AT26,AS26,AR26,AP26)</f>
        <v>0.46998421133082502</v>
      </c>
      <c r="AV26" s="53">
        <f>SUM(AR26:AU26)</f>
        <v>1.8800525888652146</v>
      </c>
    </row>
    <row r="27" spans="1:48" s="8" customFormat="1" x14ac:dyDescent="0.3">
      <c r="A27" s="20"/>
      <c r="B27" s="209" t="s">
        <v>16</v>
      </c>
      <c r="C27" s="202"/>
      <c r="D27" s="103">
        <f t="shared" ref="D27:AQ27" si="69">+D25-D26</f>
        <v>760.60000000000048</v>
      </c>
      <c r="E27" s="103">
        <f t="shared" si="69"/>
        <v>663.1999999999997</v>
      </c>
      <c r="F27" s="103">
        <f t="shared" si="69"/>
        <v>1372.8000000000009</v>
      </c>
      <c r="G27" s="103">
        <f t="shared" si="69"/>
        <v>802.60000000000093</v>
      </c>
      <c r="H27" s="171">
        <f t="shared" si="69"/>
        <v>3599.2000000000053</v>
      </c>
      <c r="I27" s="103">
        <f t="shared" si="69"/>
        <v>885.69999999999879</v>
      </c>
      <c r="J27" s="103">
        <f t="shared" si="69"/>
        <v>328.39999999999907</v>
      </c>
      <c r="K27" s="103">
        <f t="shared" si="69"/>
        <v>-678.39999999999918</v>
      </c>
      <c r="L27" s="50">
        <f t="shared" si="69"/>
        <v>392.60000000000042</v>
      </c>
      <c r="M27" s="51">
        <f t="shared" si="69"/>
        <v>928.30000000000439</v>
      </c>
      <c r="N27" s="50">
        <f t="shared" si="69"/>
        <v>622.20000000000016</v>
      </c>
      <c r="O27" s="103">
        <f t="shared" si="69"/>
        <v>659.4</v>
      </c>
      <c r="P27" s="103">
        <f t="shared" si="69"/>
        <v>1153.399999999999</v>
      </c>
      <c r="Q27" s="103">
        <f t="shared" si="69"/>
        <v>1764.3999999999999</v>
      </c>
      <c r="R27" s="171">
        <f t="shared" si="69"/>
        <v>4199.3999999999978</v>
      </c>
      <c r="S27" s="50">
        <f t="shared" si="69"/>
        <v>815.90000000000009</v>
      </c>
      <c r="T27" s="50">
        <f t="shared" si="69"/>
        <v>674.70000000000016</v>
      </c>
      <c r="U27" s="50">
        <f t="shared" si="69"/>
        <v>912.89999999999964</v>
      </c>
      <c r="V27" s="50">
        <f t="shared" si="69"/>
        <v>766.07700440213353</v>
      </c>
      <c r="W27" s="171">
        <f t="shared" si="69"/>
        <v>3169.5770044021247</v>
      </c>
      <c r="X27" s="50">
        <f t="shared" si="69"/>
        <v>806.10709225126402</v>
      </c>
      <c r="Y27" s="50">
        <f t="shared" si="69"/>
        <v>785.41417665793506</v>
      </c>
      <c r="Z27" s="50">
        <f t="shared" si="69"/>
        <v>1013.0904393845346</v>
      </c>
      <c r="AA27" s="50">
        <f t="shared" si="69"/>
        <v>1081.6811491894678</v>
      </c>
      <c r="AB27" s="51">
        <f t="shared" si="69"/>
        <v>3686.2928574832031</v>
      </c>
      <c r="AC27" s="50">
        <f t="shared" si="69"/>
        <v>1109.3424180183074</v>
      </c>
      <c r="AD27" s="50">
        <f t="shared" si="69"/>
        <v>913.65675898956749</v>
      </c>
      <c r="AE27" s="50">
        <f t="shared" si="69"/>
        <v>1139.4958070006605</v>
      </c>
      <c r="AF27" s="50">
        <f t="shared" si="69"/>
        <v>1125.4862736281918</v>
      </c>
      <c r="AG27" s="51">
        <f t="shared" si="69"/>
        <v>4287.9812576367303</v>
      </c>
      <c r="AH27" s="50">
        <f t="shared" si="69"/>
        <v>1306.4775596504351</v>
      </c>
      <c r="AI27" s="50">
        <f t="shared" si="69"/>
        <v>1090.5829451431368</v>
      </c>
      <c r="AJ27" s="50">
        <f t="shared" si="69"/>
        <v>1399.6839309867682</v>
      </c>
      <c r="AK27" s="50">
        <f t="shared" si="69"/>
        <v>1305.9712729010569</v>
      </c>
      <c r="AL27" s="51">
        <f t="shared" si="69"/>
        <v>5102.7157086813959</v>
      </c>
      <c r="AM27" s="50">
        <f t="shared" si="69"/>
        <v>1411.0522052571635</v>
      </c>
      <c r="AN27" s="50">
        <f t="shared" si="69"/>
        <v>1165.3654724318596</v>
      </c>
      <c r="AO27" s="50">
        <f t="shared" si="69"/>
        <v>1487.1951831115293</v>
      </c>
      <c r="AP27" s="50">
        <f t="shared" si="69"/>
        <v>1416.1957687521951</v>
      </c>
      <c r="AQ27" s="51">
        <f t="shared" si="69"/>
        <v>5479.8086295527492</v>
      </c>
      <c r="AR27" s="50">
        <f t="shared" ref="AR27:AV27" si="70">+AR25-AR26</f>
        <v>1516.7167710968154</v>
      </c>
      <c r="AS27" s="50">
        <f t="shared" si="70"/>
        <v>1255.7243815879685</v>
      </c>
      <c r="AT27" s="50">
        <f t="shared" si="70"/>
        <v>1597.1601940129806</v>
      </c>
      <c r="AU27" s="50">
        <f t="shared" si="70"/>
        <v>1524.4243283555707</v>
      </c>
      <c r="AV27" s="51">
        <f t="shared" si="70"/>
        <v>5894.0256750533481</v>
      </c>
    </row>
    <row r="28" spans="1:48" s="8" customFormat="1" ht="16.2" x14ac:dyDescent="0.45">
      <c r="A28" s="20"/>
      <c r="B28" s="87" t="s">
        <v>72</v>
      </c>
      <c r="C28" s="84"/>
      <c r="D28" s="109">
        <f t="shared" ref="D28:AA28" si="71">-D171-D172</f>
        <v>41.449999999998646</v>
      </c>
      <c r="E28" s="109">
        <f t="shared" si="71"/>
        <v>-54.179999999999545</v>
      </c>
      <c r="F28" s="109">
        <f t="shared" si="71"/>
        <v>-544.16000000000076</v>
      </c>
      <c r="G28" s="109">
        <f t="shared" si="71"/>
        <v>-30</v>
      </c>
      <c r="H28" s="178">
        <f>SUM(D28:G28)</f>
        <v>-586.89000000000169</v>
      </c>
      <c r="I28" s="109">
        <f t="shared" si="71"/>
        <v>-11</v>
      </c>
      <c r="J28" s="109">
        <f t="shared" si="71"/>
        <v>-23</v>
      </c>
      <c r="K28" s="109">
        <f t="shared" si="71"/>
        <v>-35.055</v>
      </c>
      <c r="L28" s="91">
        <f>-L171-L172</f>
        <v>-50.810000000000372</v>
      </c>
      <c r="M28" s="92">
        <f>SUM(I28:L28)</f>
        <v>-119.86500000000038</v>
      </c>
      <c r="N28" s="109">
        <f t="shared" si="71"/>
        <v>-35.49</v>
      </c>
      <c r="O28" s="109">
        <f t="shared" si="71"/>
        <v>-11.847999999999999</v>
      </c>
      <c r="P28" s="109">
        <f t="shared" si="71"/>
        <v>-11.862</v>
      </c>
      <c r="Q28" s="109">
        <f t="shared" si="71"/>
        <v>-696.10940000000005</v>
      </c>
      <c r="R28" s="178">
        <f>SUM(N28:Q28)</f>
        <v>-755.3094000000001</v>
      </c>
      <c r="S28" s="91">
        <f t="shared" si="71"/>
        <v>-3.9480000000003299</v>
      </c>
      <c r="T28" s="91">
        <f t="shared" si="71"/>
        <v>-46.156000000000006</v>
      </c>
      <c r="U28" s="91">
        <f t="shared" si="71"/>
        <v>-23.02</v>
      </c>
      <c r="V28" s="91">
        <f t="shared" si="71"/>
        <v>-33.861677419354834</v>
      </c>
      <c r="W28" s="178">
        <f>SUM(S28:V28)</f>
        <v>-106.98567741935517</v>
      </c>
      <c r="X28" s="91">
        <f t="shared" si="71"/>
        <v>-33.861677419354834</v>
      </c>
      <c r="Y28" s="91">
        <f t="shared" si="71"/>
        <v>-19.010064516129031</v>
      </c>
      <c r="Z28" s="91">
        <f t="shared" si="71"/>
        <v>-19.010064516129031</v>
      </c>
      <c r="AA28" s="91">
        <f t="shared" si="71"/>
        <v>-19.010064516129031</v>
      </c>
      <c r="AB28" s="92">
        <f>SUM(X28:AA28)</f>
        <v>-90.891870967741937</v>
      </c>
      <c r="AC28" s="91">
        <f t="shared" ref="AC28:AF28" si="72">-AC171-AC172</f>
        <v>-19.010064516129031</v>
      </c>
      <c r="AD28" s="91">
        <f t="shared" si="72"/>
        <v>-19.010064516129031</v>
      </c>
      <c r="AE28" s="91">
        <f t="shared" si="72"/>
        <v>-19.010064516129031</v>
      </c>
      <c r="AF28" s="91">
        <f t="shared" si="72"/>
        <v>-19.010064516129031</v>
      </c>
      <c r="AG28" s="92">
        <f>SUM(AC28:AF28)</f>
        <v>-76.040258064516124</v>
      </c>
      <c r="AH28" s="91">
        <f t="shared" ref="AH28:AK28" si="73">-AH171-AH172</f>
        <v>-19.010064516129031</v>
      </c>
      <c r="AI28" s="91">
        <f t="shared" si="73"/>
        <v>-19.010064516129031</v>
      </c>
      <c r="AJ28" s="91">
        <f t="shared" si="73"/>
        <v>-19.010064516129031</v>
      </c>
      <c r="AK28" s="91">
        <f t="shared" si="73"/>
        <v>-19.010064516129031</v>
      </c>
      <c r="AL28" s="92">
        <f>SUM(AH28:AK28)</f>
        <v>-76.040258064516124</v>
      </c>
      <c r="AM28" s="91">
        <f t="shared" ref="AM28:AP28" si="74">-AM171-AM172</f>
        <v>-19.010064516129031</v>
      </c>
      <c r="AN28" s="91">
        <f t="shared" si="74"/>
        <v>-19.010064516129031</v>
      </c>
      <c r="AO28" s="91">
        <f t="shared" si="74"/>
        <v>-19.010064516129031</v>
      </c>
      <c r="AP28" s="91">
        <f t="shared" si="74"/>
        <v>-19.010064516129031</v>
      </c>
      <c r="AQ28" s="92">
        <f>SUM(AM28:AP28)</f>
        <v>-76.040258064516124</v>
      </c>
      <c r="AR28" s="91">
        <f t="shared" ref="AR28:AU28" si="75">-AR171-AR172</f>
        <v>-19.010064516129031</v>
      </c>
      <c r="AS28" s="91">
        <f t="shared" si="75"/>
        <v>-19.010064516129031</v>
      </c>
      <c r="AT28" s="91">
        <f t="shared" si="75"/>
        <v>-19.010064516129031</v>
      </c>
      <c r="AU28" s="91">
        <f t="shared" si="75"/>
        <v>-19.010064516129031</v>
      </c>
      <c r="AV28" s="92">
        <f>SUM(AR28:AU28)</f>
        <v>-76.040258064516124</v>
      </c>
    </row>
    <row r="29" spans="1:48" s="8" customFormat="1" x14ac:dyDescent="0.3">
      <c r="A29" s="20"/>
      <c r="B29" s="85" t="s">
        <v>73</v>
      </c>
      <c r="C29" s="86"/>
      <c r="D29" s="108">
        <f t="shared" ref="D29:AQ29" si="76">+D19+D20+D21+D22-D24-D26+D28</f>
        <v>940.04999999999916</v>
      </c>
      <c r="E29" s="108">
        <f t="shared" si="76"/>
        <v>750.42000000000007</v>
      </c>
      <c r="F29" s="108">
        <f t="shared" si="76"/>
        <v>953.94</v>
      </c>
      <c r="G29" s="108">
        <f t="shared" si="76"/>
        <v>850.00000000000102</v>
      </c>
      <c r="H29" s="177">
        <f t="shared" si="76"/>
        <v>3494.4100000000039</v>
      </c>
      <c r="I29" s="108">
        <f t="shared" si="76"/>
        <v>946.2999999999987</v>
      </c>
      <c r="J29" s="108">
        <f t="shared" si="76"/>
        <v>372.19999999999902</v>
      </c>
      <c r="K29" s="108">
        <f t="shared" si="76"/>
        <v>-539.7749999999993</v>
      </c>
      <c r="L29" s="80">
        <f>+L19+L20+L21+L22-L24-L26+L28</f>
        <v>601.29</v>
      </c>
      <c r="M29" s="81">
        <f t="shared" si="76"/>
        <v>1380.0150000000035</v>
      </c>
      <c r="N29" s="108">
        <f t="shared" si="76"/>
        <v>721.61000000000024</v>
      </c>
      <c r="O29" s="108">
        <f t="shared" si="76"/>
        <v>735.75199999999995</v>
      </c>
      <c r="P29" s="108">
        <f t="shared" si="76"/>
        <v>1193.2379999999987</v>
      </c>
      <c r="Q29" s="108">
        <f t="shared" si="76"/>
        <v>1183.4905999999996</v>
      </c>
      <c r="R29" s="177">
        <f t="shared" si="76"/>
        <v>3834.0905999999977</v>
      </c>
      <c r="S29" s="80">
        <f t="shared" si="76"/>
        <v>847.15199999999982</v>
      </c>
      <c r="T29" s="80">
        <f t="shared" si="76"/>
        <v>676.04400000000032</v>
      </c>
      <c r="U29" s="80">
        <f t="shared" si="76"/>
        <v>967.37999999999965</v>
      </c>
      <c r="V29" s="80">
        <f t="shared" si="76"/>
        <v>846.21532698277872</v>
      </c>
      <c r="W29" s="177">
        <f t="shared" si="76"/>
        <v>3336.7913269827695</v>
      </c>
      <c r="X29" s="80">
        <f t="shared" si="76"/>
        <v>886.24541483190922</v>
      </c>
      <c r="Y29" s="80">
        <f t="shared" si="76"/>
        <v>830.40411214180608</v>
      </c>
      <c r="Z29" s="80">
        <f t="shared" si="76"/>
        <v>1058.0803748684057</v>
      </c>
      <c r="AA29" s="80">
        <f t="shared" si="76"/>
        <v>1126.6710846733388</v>
      </c>
      <c r="AB29" s="81">
        <f t="shared" si="76"/>
        <v>3901.4009865154612</v>
      </c>
      <c r="AC29" s="80">
        <f t="shared" si="76"/>
        <v>1154.3323535021784</v>
      </c>
      <c r="AD29" s="80">
        <f t="shared" si="76"/>
        <v>958.64669447343852</v>
      </c>
      <c r="AE29" s="80">
        <f t="shared" si="76"/>
        <v>1184.4857424845316</v>
      </c>
      <c r="AF29" s="80">
        <f t="shared" si="76"/>
        <v>1170.4762091120629</v>
      </c>
      <c r="AG29" s="81">
        <f t="shared" si="76"/>
        <v>4467.9409995722144</v>
      </c>
      <c r="AH29" s="80">
        <f t="shared" si="76"/>
        <v>1351.4674951343061</v>
      </c>
      <c r="AI29" s="80">
        <f t="shared" si="76"/>
        <v>1135.5728806270079</v>
      </c>
      <c r="AJ29" s="80">
        <f t="shared" si="76"/>
        <v>1444.6738664706393</v>
      </c>
      <c r="AK29" s="80">
        <f t="shared" si="76"/>
        <v>1350.9612083849279</v>
      </c>
      <c r="AL29" s="81">
        <f t="shared" si="76"/>
        <v>5282.67545061688</v>
      </c>
      <c r="AM29" s="80">
        <f t="shared" si="76"/>
        <v>1456.042140741034</v>
      </c>
      <c r="AN29" s="80">
        <f t="shared" si="76"/>
        <v>1210.3554079157307</v>
      </c>
      <c r="AO29" s="80">
        <f t="shared" si="76"/>
        <v>1532.1851185954004</v>
      </c>
      <c r="AP29" s="80">
        <f t="shared" si="76"/>
        <v>1461.1857042360657</v>
      </c>
      <c r="AQ29" s="81">
        <f t="shared" si="76"/>
        <v>5659.7683714882332</v>
      </c>
      <c r="AR29" s="80">
        <f t="shared" ref="AR29:AV29" si="77">+AR19+AR20+AR21+AR22-AR24-AR26+AR28</f>
        <v>1561.7067065806864</v>
      </c>
      <c r="AS29" s="80">
        <f t="shared" si="77"/>
        <v>1300.7143170718396</v>
      </c>
      <c r="AT29" s="80">
        <f t="shared" si="77"/>
        <v>1642.1501294968516</v>
      </c>
      <c r="AU29" s="80">
        <f t="shared" si="77"/>
        <v>1569.4142638394417</v>
      </c>
      <c r="AV29" s="81">
        <f t="shared" si="77"/>
        <v>6073.9854169888322</v>
      </c>
    </row>
    <row r="30" spans="1:48" x14ac:dyDescent="0.3">
      <c r="B30" s="435" t="s">
        <v>0</v>
      </c>
      <c r="C30" s="436"/>
      <c r="D30" s="101">
        <v>1242</v>
      </c>
      <c r="E30" s="101">
        <v>1239.2</v>
      </c>
      <c r="F30" s="101">
        <v>1211</v>
      </c>
      <c r="G30" s="101">
        <v>1210.7904210526317</v>
      </c>
      <c r="H30" s="169">
        <v>1221.2</v>
      </c>
      <c r="I30" s="101">
        <v>1180.4000000000001</v>
      </c>
      <c r="J30" s="101">
        <v>1171.8</v>
      </c>
      <c r="K30" s="101">
        <v>1168.5</v>
      </c>
      <c r="L30" s="101">
        <v>1167.3874645009873</v>
      </c>
      <c r="M30" s="17">
        <f>+(I27/M27*I30)+(J27/M27*J30)+(K27/M27*K30)+(L27/M27*L30)</f>
        <v>1180.550811766758</v>
      </c>
      <c r="N30" s="101">
        <v>1175</v>
      </c>
      <c r="O30" s="101">
        <v>1177.5</v>
      </c>
      <c r="P30" s="101">
        <v>1178.5</v>
      </c>
      <c r="Q30" s="101">
        <v>1179.5008492569002</v>
      </c>
      <c r="R30" s="169">
        <f>+(N27/R27*N30)+(O27/R27*O30)+(P27/R27*P30)+(Q27/R27*Q30)</f>
        <v>1178.2449155662418</v>
      </c>
      <c r="S30" s="16">
        <v>1169.5999999999999</v>
      </c>
      <c r="T30" s="16">
        <v>1149.2</v>
      </c>
      <c r="U30" s="16">
        <v>1147</v>
      </c>
      <c r="V30" s="16">
        <f>U30*(1+V151)-V155-V158-V161</f>
        <v>1149.2940000000001</v>
      </c>
      <c r="W30" s="169">
        <f>+(S27/W27*S30)+(T27/W27*T30)+(U27/W27*U30)+(V27/W27*V30)</f>
        <v>1153.840364066876</v>
      </c>
      <c r="X30" s="16">
        <f>V30*(1+X151)-X155-X158-X161</f>
        <v>1151.5925880000002</v>
      </c>
      <c r="Y30" s="16">
        <f>X30*(1+Y151)-Y155-Y158-Y161</f>
        <v>1153.8957731760001</v>
      </c>
      <c r="Z30" s="16">
        <f>Y30*(1+Z151)-Z155-Z158-Z161</f>
        <v>1156.2035647223522</v>
      </c>
      <c r="AA30" s="16">
        <f>Z30*(1+AA151)-AA155-AA158-AA161</f>
        <v>1158.5159718517968</v>
      </c>
      <c r="AB30" s="17">
        <f>+(X27/AB27*X30)+(Y27/AB27*Y30)+(Z27/AB27*Z30)+(AA27/AB27*AA30)</f>
        <v>1155.382081961412</v>
      </c>
      <c r="AC30" s="16">
        <f>AA30*(1+AC151)-AC155-AC158-AC161</f>
        <v>1160.8330037955004</v>
      </c>
      <c r="AD30" s="16">
        <f>AC30*(1+AD151)-AD155-AD158-AD161</f>
        <v>1163.1546698030913</v>
      </c>
      <c r="AE30" s="16">
        <f>AD30*(1+AE151)-AE155-AE158-AE161</f>
        <v>1164.5668652818176</v>
      </c>
      <c r="AF30" s="16">
        <f>AE30*(1+AF151)-AF155-AF158-AF161</f>
        <v>1165.9818851515013</v>
      </c>
      <c r="AG30" s="17">
        <f>+(AC27/AG27*AC30)+(AD27/AG27*AD30)+(AE27/AG27*AE30)+(AF27/AG27*AF30)</f>
        <v>1163.6713838878973</v>
      </c>
      <c r="AH30" s="16">
        <f>AF30*(1+AH151)-AH155-AH158-AH161</f>
        <v>1167.4432642923948</v>
      </c>
      <c r="AI30" s="16">
        <f>AH30*(1+AI151)-AI155-AI158-AI161</f>
        <v>1168.9075661915701</v>
      </c>
      <c r="AJ30" s="16">
        <f>AI30*(1+AJ151)-AJ155-AJ158-AJ161</f>
        <v>1126.0533332113114</v>
      </c>
      <c r="AK30" s="16">
        <f>AJ30*(1+AK151)-AK155-AK158-AK161</f>
        <v>1083.113391765092</v>
      </c>
      <c r="AL30" s="17">
        <f>+(AH27/AL27*AH30)+(AI27/AL27*AI30)+(AJ27/AL27*AJ30)+(AK27/AL27*AK30)</f>
        <v>1134.8197988216637</v>
      </c>
      <c r="AM30" s="16">
        <f>AK30*(1+AM151)-AM155-AM158-AM161</f>
        <v>1083.1913291923631</v>
      </c>
      <c r="AN30" s="16">
        <f>AM30*(1+AN151)-AN155-AN158-AN161</f>
        <v>1083.2694224944887</v>
      </c>
      <c r="AO30" s="16">
        <f>AN30*(1+AO151)-AO155-AO158-AO161</f>
        <v>1083.3476719832186</v>
      </c>
      <c r="AP30" s="16">
        <f>AO30*(1+AP151)-AP155-AP158-AP161</f>
        <v>1083.4260779709259</v>
      </c>
      <c r="AQ30" s="17">
        <f>+(AM27/AQ27*AM30)+(AN27/AQ27*AN30)+(AO27/AQ27*AO30)+(AP27/AQ27*AP30)</f>
        <v>1083.3110358745967</v>
      </c>
      <c r="AR30" s="16">
        <f>AP30*(1+AR151)-AR155-AR158-AR161</f>
        <v>1083.5455876207311</v>
      </c>
      <c r="AS30" s="16">
        <f>AR30*(1+AS151)-AS155-AS158-AS161</f>
        <v>1083.665336289836</v>
      </c>
      <c r="AT30" s="16">
        <f>AS30*(1+AT151)-AT155-AT158-AT161</f>
        <v>1083.7853244562791</v>
      </c>
      <c r="AU30" s="16">
        <f>AT30*(1+AU151)-AU155-AU158-AU161</f>
        <v>1083.905552599055</v>
      </c>
      <c r="AV30" s="17">
        <f>+(AR27/AV27*AR30)+(AS27/AV27*AS30)+(AT27/AV27*AT30)+(AU27/AV27*AU30)</f>
        <v>1083.7291648367436</v>
      </c>
    </row>
    <row r="31" spans="1:48" ht="15.75" customHeight="1" x14ac:dyDescent="0.3">
      <c r="B31" s="435" t="s">
        <v>1</v>
      </c>
      <c r="C31" s="436"/>
      <c r="D31" s="101">
        <v>1253.4000000000001</v>
      </c>
      <c r="E31" s="101">
        <v>1250.7</v>
      </c>
      <c r="F31" s="101">
        <v>1223</v>
      </c>
      <c r="G31" s="101">
        <v>1222.8144210526316</v>
      </c>
      <c r="H31" s="169">
        <v>1233.2</v>
      </c>
      <c r="I31" s="101">
        <v>1191</v>
      </c>
      <c r="J31" s="101">
        <v>1180.7</v>
      </c>
      <c r="K31" s="101">
        <v>1168.5</v>
      </c>
      <c r="L31" s="101">
        <v>1179</v>
      </c>
      <c r="M31" s="17">
        <f>+(I27/M27*I31)+(J27/M27*J31)+(K27/M27*K31)+(L27/M27*L31)</f>
        <v>1198.7240978132002</v>
      </c>
      <c r="N31" s="101">
        <v>1183</v>
      </c>
      <c r="O31" s="101">
        <v>1184.8</v>
      </c>
      <c r="P31" s="101">
        <v>1186.2</v>
      </c>
      <c r="Q31" s="101">
        <v>1187.9000000000001</v>
      </c>
      <c r="R31" s="169">
        <f>+(N27/R27*N31)+(O27/R27*O31)+(P27/R27*P31)+(Q27/R27*Q31)</f>
        <v>1186.2203076629999</v>
      </c>
      <c r="S31" s="16">
        <v>1176.5999999999999</v>
      </c>
      <c r="T31" s="16">
        <v>1153.9000000000001</v>
      </c>
      <c r="U31" s="16">
        <v>1151</v>
      </c>
      <c r="V31" s="16">
        <f>U31*(1+V152)-V155-V158-V161</f>
        <v>1152.1509999999998</v>
      </c>
      <c r="W31" s="169">
        <f>+(S27/W27*S31)+(T27/W27*T31)+(U27/W27*U31)+(V27/W27*V31)</f>
        <v>1158.4853599073713</v>
      </c>
      <c r="X31" s="16">
        <f>V31*(1+X152)-X155-X158-X161</f>
        <v>1153.3031509999996</v>
      </c>
      <c r="Y31" s="16">
        <f>X31*(1+Y152)-Y155-Y158-Y161</f>
        <v>1154.4564541509994</v>
      </c>
      <c r="Z31" s="16">
        <f>Y31*(1+Z152)-Z155-Z158-Z161</f>
        <v>1155.6109106051504</v>
      </c>
      <c r="AA31" s="16">
        <f>Z31*(1+AA152)-AA155-AA158-AA161</f>
        <v>1156.7665215157554</v>
      </c>
      <c r="AB31" s="17">
        <f>+(X27/AB27*X31)+(Y27/AB27*Y31)+(Z27/AB27*Z31)+(AA27/AB27*AA31)</f>
        <v>1155.1993791910168</v>
      </c>
      <c r="AC31" s="16">
        <f>AA31*(1+AC152)-AC155-AC158-AC161</f>
        <v>1157.923288037271</v>
      </c>
      <c r="AD31" s="16">
        <f>AC31*(1+AD152)-AD155-AD158-AD161</f>
        <v>1159.0812113253082</v>
      </c>
      <c r="AE31" s="16">
        <f>AD31*(1+AE152)-AE155-AE158-AE161</f>
        <v>1159.3261786757535</v>
      </c>
      <c r="AF31" s="16">
        <f>AE31*(1+AF152)-AF155-AF158-AF161</f>
        <v>1159.5713909935491</v>
      </c>
      <c r="AG31" s="17">
        <f>+(AC27/AG27*AC31)+(AD27/AG27*AD31)+(AE27/AG27*AE31)+(AF27/AG27*AF31)</f>
        <v>1158.9754031055252</v>
      </c>
      <c r="AH31" s="16">
        <f>AF31*(1+AH152)-AH155-AH158-AH161</f>
        <v>1159.8603777551332</v>
      </c>
      <c r="AI31" s="16">
        <f>AH31*(1+AI152)-AI155-AI158-AI161</f>
        <v>1160.1496535034787</v>
      </c>
      <c r="AJ31" s="16">
        <f>AI31*(1+AJ152)-AJ155-AJ158-AJ161</f>
        <v>1116.1177550443401</v>
      </c>
      <c r="AK31" s="16">
        <f>AJ31*(1+AK152)-AK155-AK158-AK161</f>
        <v>1072.0418246867423</v>
      </c>
      <c r="AL31" s="17">
        <f>+(AH27/AL27*AH31)+(AI27/AL27*AI31)+(AJ27/AL27*AJ31)+(AK27/AL27*AK31)</f>
        <v>1125.4475504549121</v>
      </c>
      <c r="AM31" s="16">
        <f>AK31*(1+AM152)-AM155-AM158-AM161</f>
        <v>1071.0255771551699</v>
      </c>
      <c r="AN31" s="16">
        <f>AM31*(1+AN152)-AN155-AN158-AN161</f>
        <v>1070.0083133760659</v>
      </c>
      <c r="AO31" s="16">
        <f>AN31*(1+AO152)-AO155-AO158-AO161</f>
        <v>1068.9900323331826</v>
      </c>
      <c r="AP31" s="16">
        <f>AO31*(1+AP152)-AP155-AP158-AP161</f>
        <v>1067.9707330092565</v>
      </c>
      <c r="AQ31" s="17">
        <f>+(AM27/AQ27*AM31)+(AN27/AQ27*AN31)+(AO27/AQ27*AO31)+(AP27/AQ27*AP31)</f>
        <v>1069.4673121737285</v>
      </c>
      <c r="AR31" s="16">
        <f>AP31*(1+AR152)-AR155-AR158-AR161</f>
        <v>1066.991361236129</v>
      </c>
      <c r="AS31" s="16">
        <f>AR31*(1+AS152)-AS155-AS158-AS161</f>
        <v>1066.0110100912284</v>
      </c>
      <c r="AT31" s="16">
        <f>AS31*(1+AT152)-AT155-AT158-AT161</f>
        <v>1065.029678595183</v>
      </c>
      <c r="AU31" s="16">
        <f>AT31*(1+AU152)-AU155-AU158-AU161</f>
        <v>1064.0473657676414</v>
      </c>
      <c r="AV31" s="17">
        <f>+(AR27/AV27*AR31)+(AS27/AV27*AS31)+(AT27/AV27*AT31)+(AU27/AV27*AU31)</f>
        <v>1065.4894894993317</v>
      </c>
    </row>
    <row r="32" spans="1:48" ht="15.75" customHeight="1" x14ac:dyDescent="0.3">
      <c r="B32" s="445" t="s">
        <v>6</v>
      </c>
      <c r="C32" s="446"/>
      <c r="D32" s="110">
        <f t="shared" ref="D32:AQ32" si="78">D27/D30</f>
        <v>0.61239935587761718</v>
      </c>
      <c r="E32" s="110">
        <f t="shared" si="78"/>
        <v>0.53518398967075509</v>
      </c>
      <c r="F32" s="110">
        <f t="shared" si="78"/>
        <v>1.1336085879438487</v>
      </c>
      <c r="G32" s="110">
        <f t="shared" si="78"/>
        <v>0.66287276975832043</v>
      </c>
      <c r="H32" s="174">
        <f t="shared" si="78"/>
        <v>2.947264985260404</v>
      </c>
      <c r="I32" s="110">
        <f t="shared" si="78"/>
        <v>0.75033886818027684</v>
      </c>
      <c r="J32" s="110">
        <f t="shared" si="78"/>
        <v>0.28025260283324721</v>
      </c>
      <c r="K32" s="110">
        <f t="shared" si="78"/>
        <v>-0.58057338468121455</v>
      </c>
      <c r="L32" s="110">
        <f t="shared" si="78"/>
        <v>0.3363065065700544</v>
      </c>
      <c r="M32" s="25">
        <f t="shared" si="78"/>
        <v>0.78632786555858059</v>
      </c>
      <c r="N32" s="110">
        <f t="shared" si="78"/>
        <v>0.52953191489361717</v>
      </c>
      <c r="O32" s="110">
        <f t="shared" si="78"/>
        <v>0.55999999999999994</v>
      </c>
      <c r="P32" s="110">
        <f t="shared" si="78"/>
        <v>0.97870173949936268</v>
      </c>
      <c r="Q32" s="110">
        <f t="shared" si="78"/>
        <v>1.495887011112873</v>
      </c>
      <c r="R32" s="174">
        <f t="shared" si="78"/>
        <v>3.5641146798260079</v>
      </c>
      <c r="S32" s="24">
        <f t="shared" si="78"/>
        <v>0.69758891928864586</v>
      </c>
      <c r="T32" s="24">
        <f t="shared" si="78"/>
        <v>0.58710407239819018</v>
      </c>
      <c r="U32" s="24">
        <f t="shared" si="78"/>
        <v>0.79590235396686981</v>
      </c>
      <c r="V32" s="24">
        <f t="shared" si="78"/>
        <v>0.6665631286704129</v>
      </c>
      <c r="W32" s="174">
        <f t="shared" si="78"/>
        <v>2.7469805209712854</v>
      </c>
      <c r="X32" s="24">
        <f t="shared" si="78"/>
        <v>0.69999329680581779</v>
      </c>
      <c r="Y32" s="24">
        <f t="shared" si="78"/>
        <v>0.68066301559988318</v>
      </c>
      <c r="Z32" s="24">
        <f t="shared" si="78"/>
        <v>0.87622151522064851</v>
      </c>
      <c r="AA32" s="24">
        <f t="shared" si="78"/>
        <v>0.93367823618390455</v>
      </c>
      <c r="AB32" s="25">
        <f t="shared" si="78"/>
        <v>3.190540094948711</v>
      </c>
      <c r="AC32" s="24">
        <f t="shared" si="78"/>
        <v>0.95564341674570108</v>
      </c>
      <c r="AD32" s="24">
        <f t="shared" si="78"/>
        <v>0.78549893897106482</v>
      </c>
      <c r="AE32" s="24">
        <f t="shared" si="78"/>
        <v>0.97847177433209032</v>
      </c>
      <c r="AF32" s="24">
        <f t="shared" si="78"/>
        <v>0.96526909033578367</v>
      </c>
      <c r="AG32" s="25">
        <f t="shared" si="78"/>
        <v>3.6848729950807271</v>
      </c>
      <c r="AH32" s="24">
        <f t="shared" si="78"/>
        <v>1.1190929783147201</v>
      </c>
      <c r="AI32" s="24">
        <f t="shared" si="78"/>
        <v>0.9329933150286438</v>
      </c>
      <c r="AJ32" s="24">
        <f t="shared" si="78"/>
        <v>1.2429996783501447</v>
      </c>
      <c r="AK32" s="24">
        <f t="shared" si="78"/>
        <v>1.2057567405502994</v>
      </c>
      <c r="AL32" s="25">
        <f t="shared" si="78"/>
        <v>4.4964986634704323</v>
      </c>
      <c r="AM32" s="24">
        <f t="shared" si="78"/>
        <v>1.3026804842587285</v>
      </c>
      <c r="AN32" s="24">
        <f t="shared" si="78"/>
        <v>1.0757854401062341</v>
      </c>
      <c r="AO32" s="24">
        <f t="shared" si="78"/>
        <v>1.372777384003615</v>
      </c>
      <c r="AP32" s="24">
        <f t="shared" si="78"/>
        <v>1.3071457273803955</v>
      </c>
      <c r="AQ32" s="25">
        <f t="shared" si="78"/>
        <v>5.0583890019441178</v>
      </c>
      <c r="AR32" s="24">
        <f t="shared" ref="AR32:AV32" si="79">AR27/AR30</f>
        <v>1.3997719970668232</v>
      </c>
      <c r="AS32" s="24">
        <f t="shared" si="79"/>
        <v>1.1587750752342176</v>
      </c>
      <c r="AT32" s="24">
        <f t="shared" si="79"/>
        <v>1.4736868621230454</v>
      </c>
      <c r="AU32" s="24">
        <f t="shared" si="79"/>
        <v>1.4064180450964687</v>
      </c>
      <c r="AV32" s="25">
        <f t="shared" si="79"/>
        <v>5.438651894120837</v>
      </c>
    </row>
    <row r="33" spans="2:48" x14ac:dyDescent="0.3">
      <c r="B33" s="445" t="s">
        <v>7</v>
      </c>
      <c r="C33" s="446"/>
      <c r="D33" s="110">
        <f t="shared" ref="D33:AQ33" si="80">D27/D31</f>
        <v>0.60682942396681061</v>
      </c>
      <c r="E33" s="110">
        <f t="shared" si="80"/>
        <v>0.53026305269049312</v>
      </c>
      <c r="F33" s="110">
        <f t="shared" si="80"/>
        <v>1.1224856909239582</v>
      </c>
      <c r="G33" s="110">
        <f t="shared" si="80"/>
        <v>0.65635470614510849</v>
      </c>
      <c r="H33" s="174">
        <f t="shared" si="80"/>
        <v>2.9185857930587131</v>
      </c>
      <c r="I33" s="110">
        <f t="shared" si="80"/>
        <v>0.74366078925272783</v>
      </c>
      <c r="J33" s="110">
        <f t="shared" si="80"/>
        <v>0.27814008638942922</v>
      </c>
      <c r="K33" s="110">
        <f t="shared" si="80"/>
        <v>-0.58057338468121455</v>
      </c>
      <c r="L33" s="110">
        <f t="shared" si="80"/>
        <v>0.3329940627650555</v>
      </c>
      <c r="M33" s="174">
        <f t="shared" si="80"/>
        <v>0.7744067226924668</v>
      </c>
      <c r="N33" s="110">
        <f t="shared" si="80"/>
        <v>0.52595097210481845</v>
      </c>
      <c r="O33" s="110">
        <f t="shared" si="80"/>
        <v>0.55654962862930457</v>
      </c>
      <c r="P33" s="110">
        <f t="shared" si="80"/>
        <v>0.97234867644579237</v>
      </c>
      <c r="Q33" s="110">
        <f t="shared" si="80"/>
        <v>1.4853102112972469</v>
      </c>
      <c r="R33" s="174">
        <f t="shared" si="80"/>
        <v>3.5401518359379072</v>
      </c>
      <c r="S33" s="24">
        <f t="shared" si="80"/>
        <v>0.69343872174060861</v>
      </c>
      <c r="T33" s="24">
        <f t="shared" si="80"/>
        <v>0.58471271340670783</v>
      </c>
      <c r="U33" s="24">
        <f t="shared" si="80"/>
        <v>0.79313640312771472</v>
      </c>
      <c r="V33" s="24">
        <f t="shared" si="80"/>
        <v>0.66491024562069867</v>
      </c>
      <c r="W33" s="174">
        <f t="shared" si="80"/>
        <v>2.7359663868825703</v>
      </c>
      <c r="X33" s="24">
        <f t="shared" si="80"/>
        <v>0.69895507660089995</v>
      </c>
      <c r="Y33" s="24">
        <f t="shared" si="80"/>
        <v>0.68033244028726725</v>
      </c>
      <c r="Z33" s="24">
        <f t="shared" si="80"/>
        <v>0.87667088471327859</v>
      </c>
      <c r="AA33" s="24">
        <f t="shared" si="80"/>
        <v>0.93509029615768935</v>
      </c>
      <c r="AB33" s="25">
        <f t="shared" si="80"/>
        <v>3.1910447009283409</v>
      </c>
      <c r="AC33" s="24">
        <f t="shared" si="80"/>
        <v>0.95804482859887008</v>
      </c>
      <c r="AD33" s="24">
        <f t="shared" si="80"/>
        <v>0.78825948523907197</v>
      </c>
      <c r="AE33" s="24">
        <f t="shared" si="80"/>
        <v>0.98289491599530321</v>
      </c>
      <c r="AF33" s="24">
        <f t="shared" si="80"/>
        <v>0.97060541711351445</v>
      </c>
      <c r="AG33" s="25">
        <f t="shared" si="80"/>
        <v>3.6998035041528037</v>
      </c>
      <c r="AH33" s="24">
        <f t="shared" si="80"/>
        <v>1.1264093374575601</v>
      </c>
      <c r="AI33" s="24">
        <f t="shared" si="80"/>
        <v>0.94003643568718842</v>
      </c>
      <c r="AJ33" s="24">
        <f t="shared" si="80"/>
        <v>1.2540647477928195</v>
      </c>
      <c r="AK33" s="24">
        <f t="shared" si="80"/>
        <v>1.2182092552990367</v>
      </c>
      <c r="AL33" s="25">
        <f t="shared" si="80"/>
        <v>4.5339435912574073</v>
      </c>
      <c r="AM33" s="24">
        <f t="shared" si="80"/>
        <v>1.3174775984390246</v>
      </c>
      <c r="AN33" s="24">
        <f t="shared" si="80"/>
        <v>1.0891181478346883</v>
      </c>
      <c r="AO33" s="24">
        <f t="shared" si="80"/>
        <v>1.3912152013855266</v>
      </c>
      <c r="AP33" s="24">
        <f t="shared" si="80"/>
        <v>1.3260623395191116</v>
      </c>
      <c r="AQ33" s="25">
        <f t="shared" si="80"/>
        <v>5.1238673376700525</v>
      </c>
      <c r="AR33" s="24">
        <f t="shared" ref="AR33:AV33" si="81">AR27/AR31</f>
        <v>1.4214892699221775</v>
      </c>
      <c r="AS33" s="24">
        <f t="shared" si="81"/>
        <v>1.1779656773718543</v>
      </c>
      <c r="AT33" s="24">
        <f t="shared" si="81"/>
        <v>1.4996391425633313</v>
      </c>
      <c r="AU33" s="24">
        <f t="shared" si="81"/>
        <v>1.4326658543586517</v>
      </c>
      <c r="AV33" s="25">
        <f t="shared" si="81"/>
        <v>5.531753933887158</v>
      </c>
    </row>
    <row r="34" spans="2:48" x14ac:dyDescent="0.3">
      <c r="B34" s="93" t="s">
        <v>74</v>
      </c>
      <c r="C34" s="100"/>
      <c r="D34" s="111">
        <f t="shared" ref="D34:AQ34" si="82">+D29/D31</f>
        <v>0.74999999999999922</v>
      </c>
      <c r="E34" s="111">
        <f t="shared" si="82"/>
        <v>0.60000000000000009</v>
      </c>
      <c r="F34" s="111">
        <f t="shared" si="82"/>
        <v>0.78</v>
      </c>
      <c r="G34" s="111">
        <f t="shared" si="82"/>
        <v>0.69511774261567683</v>
      </c>
      <c r="H34" s="172">
        <f t="shared" si="82"/>
        <v>2.8336117418099285</v>
      </c>
      <c r="I34" s="111">
        <f t="shared" si="82"/>
        <v>0.79454240134340781</v>
      </c>
      <c r="J34" s="111">
        <f t="shared" si="82"/>
        <v>0.31523672397730074</v>
      </c>
      <c r="K34" s="111">
        <f t="shared" si="82"/>
        <v>-0.46193838254171954</v>
      </c>
      <c r="L34" s="111">
        <f t="shared" si="82"/>
        <v>0.51</v>
      </c>
      <c r="M34" s="172">
        <f t="shared" si="82"/>
        <v>1.1512365543643674</v>
      </c>
      <c r="N34" s="111">
        <f t="shared" si="82"/>
        <v>0.60998309382924787</v>
      </c>
      <c r="O34" s="111">
        <f t="shared" si="82"/>
        <v>0.62099257258609042</v>
      </c>
      <c r="P34" s="111">
        <f t="shared" si="82"/>
        <v>1.0059332321699532</v>
      </c>
      <c r="Q34" s="111">
        <f t="shared" si="82"/>
        <v>0.99628807138648001</v>
      </c>
      <c r="R34" s="172">
        <f>+R29/R31+0.01</f>
        <v>3.2421909979383412</v>
      </c>
      <c r="S34" s="111">
        <f t="shared" si="82"/>
        <v>0.71999999999999986</v>
      </c>
      <c r="T34" s="111">
        <f t="shared" si="82"/>
        <v>0.58587745905191113</v>
      </c>
      <c r="U34" s="111">
        <f t="shared" si="82"/>
        <v>0.84046915725456095</v>
      </c>
      <c r="V34" s="420">
        <f t="shared" si="82"/>
        <v>0.73446564467919473</v>
      </c>
      <c r="W34" s="172">
        <f t="shared" si="82"/>
        <v>2.8803051315638277</v>
      </c>
      <c r="X34" s="82">
        <f t="shared" si="82"/>
        <v>0.76844098974625064</v>
      </c>
      <c r="Y34" s="82">
        <f t="shared" si="82"/>
        <v>0.71930310507250339</v>
      </c>
      <c r="Z34" s="82">
        <f t="shared" si="82"/>
        <v>0.91560261776546259</v>
      </c>
      <c r="AA34" s="82">
        <f t="shared" si="82"/>
        <v>0.97398313636966138</v>
      </c>
      <c r="AB34" s="83">
        <f t="shared" si="82"/>
        <v>3.3772533614479627</v>
      </c>
      <c r="AC34" s="82">
        <f t="shared" si="82"/>
        <v>0.9968988148246164</v>
      </c>
      <c r="AD34" s="82">
        <f t="shared" si="82"/>
        <v>0.82707465629376364</v>
      </c>
      <c r="AE34" s="82">
        <f t="shared" si="82"/>
        <v>1.0217018853464663</v>
      </c>
      <c r="AF34" s="82">
        <f t="shared" si="82"/>
        <v>1.0094041800299767</v>
      </c>
      <c r="AG34" s="83">
        <f t="shared" si="82"/>
        <v>3.8550783628368399</v>
      </c>
      <c r="AH34" s="82">
        <f t="shared" si="82"/>
        <v>1.1651984334097363</v>
      </c>
      <c r="AI34" s="82">
        <f t="shared" si="82"/>
        <v>0.97881585983131347</v>
      </c>
      <c r="AJ34" s="82">
        <f t="shared" si="82"/>
        <v>1.2943740568066195</v>
      </c>
      <c r="AK34" s="82">
        <f t="shared" si="82"/>
        <v>1.2601758413480628</v>
      </c>
      <c r="AL34" s="415">
        <f t="shared" si="82"/>
        <v>4.6938441942333018</v>
      </c>
      <c r="AM34" s="82">
        <f t="shared" si="82"/>
        <v>1.3594840046757193</v>
      </c>
      <c r="AN34" s="82">
        <f t="shared" si="82"/>
        <v>1.1311644898317144</v>
      </c>
      <c r="AO34" s="82">
        <f t="shared" si="82"/>
        <v>1.4333015951993922</v>
      </c>
      <c r="AP34" s="82">
        <f t="shared" si="82"/>
        <v>1.3681889016928717</v>
      </c>
      <c r="AQ34" s="83">
        <f t="shared" si="82"/>
        <v>5.2921377839819739</v>
      </c>
      <c r="AR34" s="82">
        <f t="shared" ref="AR34:AV34" si="83">+AR29/AR31</f>
        <v>1.4636544992936218</v>
      </c>
      <c r="AS34" s="82">
        <f t="shared" si="83"/>
        <v>1.2201696837638905</v>
      </c>
      <c r="AT34" s="82">
        <f t="shared" si="83"/>
        <v>1.5418820362479604</v>
      </c>
      <c r="AU34" s="82">
        <f t="shared" si="83"/>
        <v>1.474947746059416</v>
      </c>
      <c r="AV34" s="83">
        <f t="shared" si="83"/>
        <v>5.7006525891146689</v>
      </c>
    </row>
    <row r="35" spans="2:48" x14ac:dyDescent="0.3">
      <c r="B35" s="38" t="s">
        <v>41</v>
      </c>
      <c r="C35" s="207"/>
      <c r="D35" s="239">
        <v>0.36</v>
      </c>
      <c r="E35" s="239">
        <v>0.36</v>
      </c>
      <c r="F35" s="239">
        <v>0.36</v>
      </c>
      <c r="G35" s="239">
        <v>0.41</v>
      </c>
      <c r="H35" s="174">
        <f>+SUM(D35:G35)</f>
        <v>1.49</v>
      </c>
      <c r="I35" s="239">
        <v>0.41</v>
      </c>
      <c r="J35" s="239">
        <v>0.41</v>
      </c>
      <c r="K35" s="239">
        <v>0.41</v>
      </c>
      <c r="L35" s="239">
        <f>K35*1.1</f>
        <v>0.45100000000000001</v>
      </c>
      <c r="M35" s="25">
        <f>+SUM(I35:L35)</f>
        <v>1.681</v>
      </c>
      <c r="N35" s="239">
        <f>+L35</f>
        <v>0.45100000000000001</v>
      </c>
      <c r="O35" s="239">
        <v>0.45</v>
      </c>
      <c r="P35" s="239">
        <v>0.45</v>
      </c>
      <c r="Q35" s="239">
        <v>0.49</v>
      </c>
      <c r="R35" s="25">
        <f>+SUM(N35:Q35)</f>
        <v>1.841</v>
      </c>
      <c r="S35" s="239">
        <v>0.49</v>
      </c>
      <c r="T35" s="239">
        <v>0.49</v>
      </c>
      <c r="U35" s="239">
        <v>0.49</v>
      </c>
      <c r="V35" s="240">
        <f>1.05*U35</f>
        <v>0.51449999999999996</v>
      </c>
      <c r="W35" s="25">
        <f>+SUM(S35:V35)</f>
        <v>1.9844999999999999</v>
      </c>
      <c r="X35" s="240">
        <f>+V35</f>
        <v>0.51449999999999996</v>
      </c>
      <c r="Y35" s="240">
        <f>+X35</f>
        <v>0.51449999999999996</v>
      </c>
      <c r="Z35" s="240">
        <f>+Y35</f>
        <v>0.51449999999999996</v>
      </c>
      <c r="AA35" s="240">
        <f>1.05*Z35</f>
        <v>0.54022499999999996</v>
      </c>
      <c r="AB35" s="25">
        <f>+SUM(X35:AA35)</f>
        <v>2.0837249999999998</v>
      </c>
      <c r="AC35" s="240">
        <f>+AA35</f>
        <v>0.54022499999999996</v>
      </c>
      <c r="AD35" s="240">
        <f>+AC35</f>
        <v>0.54022499999999996</v>
      </c>
      <c r="AE35" s="240">
        <f>+AD35</f>
        <v>0.54022499999999996</v>
      </c>
      <c r="AF35" s="240">
        <f>1.05*AE35</f>
        <v>0.56723625</v>
      </c>
      <c r="AG35" s="25">
        <f>+SUM(AC35:AF35)</f>
        <v>2.18791125</v>
      </c>
      <c r="AH35" s="240">
        <f>+AF35</f>
        <v>0.56723625</v>
      </c>
      <c r="AI35" s="240">
        <f>+AH35</f>
        <v>0.56723625</v>
      </c>
      <c r="AJ35" s="240">
        <f>+AI35</f>
        <v>0.56723625</v>
      </c>
      <c r="AK35" s="240">
        <f>1.05*AJ35</f>
        <v>0.59559806250000003</v>
      </c>
      <c r="AL35" s="25">
        <f>+SUM(AH35:AK35)</f>
        <v>2.2973068125</v>
      </c>
      <c r="AM35" s="240">
        <f>+AK35</f>
        <v>0.59559806250000003</v>
      </c>
      <c r="AN35" s="240">
        <f>+AM35</f>
        <v>0.59559806250000003</v>
      </c>
      <c r="AO35" s="240">
        <f>+AN35</f>
        <v>0.59559806250000003</v>
      </c>
      <c r="AP35" s="240">
        <f>1.02*AO35</f>
        <v>0.60751002375000007</v>
      </c>
      <c r="AQ35" s="25">
        <f>+SUM(AM35:AP35)</f>
        <v>2.3943042112500001</v>
      </c>
      <c r="AR35" s="240">
        <f>+AP35</f>
        <v>0.60751002375000007</v>
      </c>
      <c r="AS35" s="240">
        <f>+AR35</f>
        <v>0.60751002375000007</v>
      </c>
      <c r="AT35" s="240">
        <f>+AS35</f>
        <v>0.60751002375000007</v>
      </c>
      <c r="AU35" s="240">
        <f>1.02*AT35</f>
        <v>0.61966022422500011</v>
      </c>
      <c r="AV35" s="25">
        <f>+SUM(AR35:AU35)</f>
        <v>2.4421902954750001</v>
      </c>
    </row>
    <row r="36" spans="2:48" s="241" customFormat="1" x14ac:dyDescent="0.3">
      <c r="B36" s="242" t="s">
        <v>170</v>
      </c>
      <c r="C36" s="243"/>
      <c r="D36" s="211"/>
      <c r="E36" s="211"/>
      <c r="F36" s="211"/>
      <c r="G36" s="211"/>
      <c r="H36" s="244">
        <f>H35/H33</f>
        <v>0.51052122693931912</v>
      </c>
      <c r="I36" s="211"/>
      <c r="J36" s="211"/>
      <c r="K36" s="211"/>
      <c r="L36" s="211"/>
      <c r="M36" s="244">
        <f>M35/M33</f>
        <v>2.1706939657696651</v>
      </c>
      <c r="N36" s="211"/>
      <c r="O36" s="211"/>
      <c r="P36" s="211"/>
      <c r="Q36" s="211"/>
      <c r="R36" s="244">
        <f>R35/R33</f>
        <v>0.52003419212449009</v>
      </c>
      <c r="S36" s="211"/>
      <c r="T36" s="211"/>
      <c r="U36" s="211"/>
      <c r="V36" s="211"/>
      <c r="W36" s="244">
        <f>W35/W33</f>
        <v>0.72533785850387944</v>
      </c>
      <c r="X36" s="211"/>
      <c r="Y36" s="211"/>
      <c r="Z36" s="211"/>
      <c r="AA36" s="211"/>
      <c r="AB36" s="244">
        <f>AB35/AB33</f>
        <v>0.65299147937156787</v>
      </c>
      <c r="AC36" s="211"/>
      <c r="AD36" s="211"/>
      <c r="AE36" s="211"/>
      <c r="AF36" s="211"/>
      <c r="AG36" s="244">
        <f>AG35/AG33</f>
        <v>0.59135877014663163</v>
      </c>
      <c r="AH36" s="211"/>
      <c r="AI36" s="211"/>
      <c r="AJ36" s="211"/>
      <c r="AK36" s="211"/>
      <c r="AL36" s="416">
        <f>AL35/AL33</f>
        <v>0.50669064717297985</v>
      </c>
      <c r="AM36" s="211"/>
      <c r="AN36" s="211"/>
      <c r="AO36" s="211"/>
      <c r="AP36" s="211"/>
      <c r="AQ36" s="244">
        <f>AQ35/AQ33</f>
        <v>0.46728458280864638</v>
      </c>
      <c r="AR36" s="211"/>
      <c r="AS36" s="211"/>
      <c r="AT36" s="211"/>
      <c r="AU36" s="211"/>
      <c r="AV36" s="244">
        <f>AV35/AV33</f>
        <v>0.44148570682334659</v>
      </c>
    </row>
    <row r="37" spans="2:48" s="63" customFormat="1" x14ac:dyDescent="0.3">
      <c r="B37" s="198"/>
      <c r="C37" s="371"/>
      <c r="D37" s="372"/>
      <c r="E37" s="196"/>
      <c r="F37" s="196"/>
      <c r="G37" s="196">
        <f>G35/F35-1</f>
        <v>0.13888888888888884</v>
      </c>
      <c r="H37" s="196"/>
      <c r="I37" s="196"/>
      <c r="J37" s="196"/>
      <c r="K37" s="196"/>
      <c r="L37" s="196">
        <f>L35/K35-1</f>
        <v>0.10000000000000009</v>
      </c>
      <c r="M37" s="196"/>
      <c r="N37" s="196"/>
      <c r="O37" s="196"/>
      <c r="P37" s="196"/>
      <c r="Q37" s="196">
        <f>Q35/P35-1</f>
        <v>8.8888888888888795E-2</v>
      </c>
      <c r="R37" s="196"/>
      <c r="S37" s="196"/>
      <c r="T37" s="196"/>
      <c r="U37" s="196"/>
      <c r="V37" s="196"/>
      <c r="W37" s="392"/>
      <c r="X37" s="196"/>
      <c r="Y37" s="196"/>
      <c r="Z37" s="196"/>
      <c r="AA37" s="196"/>
      <c r="AB37" s="392"/>
      <c r="AC37" s="196"/>
      <c r="AD37" s="196"/>
      <c r="AE37" s="196"/>
      <c r="AF37" s="392"/>
      <c r="AG37" s="392"/>
      <c r="AH37" s="196"/>
      <c r="AI37" s="196"/>
      <c r="AJ37" s="196"/>
      <c r="AK37" s="196"/>
      <c r="AL37" s="372"/>
      <c r="AM37" s="196"/>
      <c r="AN37" s="196"/>
      <c r="AO37" s="196"/>
      <c r="AP37" s="196"/>
      <c r="AQ37" s="196"/>
      <c r="AR37" s="196"/>
      <c r="AS37" s="196"/>
      <c r="AT37" s="196"/>
      <c r="AU37" s="196"/>
      <c r="AV37" s="196"/>
    </row>
    <row r="38" spans="2:48" ht="15.6" x14ac:dyDescent="0.3">
      <c r="B38" s="433" t="s">
        <v>13</v>
      </c>
      <c r="C38" s="434"/>
      <c r="D38" s="13" t="s">
        <v>15</v>
      </c>
      <c r="E38" s="13" t="s">
        <v>82</v>
      </c>
      <c r="F38" s="13" t="s">
        <v>84</v>
      </c>
      <c r="G38" s="13" t="s">
        <v>147</v>
      </c>
      <c r="H38" s="39" t="s">
        <v>147</v>
      </c>
      <c r="I38" s="13" t="s">
        <v>146</v>
      </c>
      <c r="J38" s="13" t="s">
        <v>145</v>
      </c>
      <c r="K38" s="13" t="s">
        <v>144</v>
      </c>
      <c r="L38" s="13" t="s">
        <v>141</v>
      </c>
      <c r="M38" s="39" t="s">
        <v>141</v>
      </c>
      <c r="N38" s="13" t="s">
        <v>148</v>
      </c>
      <c r="O38" s="13" t="s">
        <v>156</v>
      </c>
      <c r="P38" s="13" t="s">
        <v>158</v>
      </c>
      <c r="Q38" s="13" t="s">
        <v>171</v>
      </c>
      <c r="R38" s="39" t="s">
        <v>171</v>
      </c>
      <c r="S38" s="13" t="s">
        <v>187</v>
      </c>
      <c r="T38" s="13" t="s">
        <v>190</v>
      </c>
      <c r="U38" s="13" t="s">
        <v>203</v>
      </c>
      <c r="V38" s="15" t="s">
        <v>20</v>
      </c>
      <c r="W38" s="41" t="s">
        <v>20</v>
      </c>
      <c r="X38" s="15" t="s">
        <v>21</v>
      </c>
      <c r="Y38" s="15" t="s">
        <v>22</v>
      </c>
      <c r="Z38" s="15" t="s">
        <v>23</v>
      </c>
      <c r="AA38" s="15" t="s">
        <v>24</v>
      </c>
      <c r="AB38" s="41" t="s">
        <v>24</v>
      </c>
      <c r="AC38" s="15" t="s">
        <v>86</v>
      </c>
      <c r="AD38" s="15" t="s">
        <v>87</v>
      </c>
      <c r="AE38" s="15" t="s">
        <v>88</v>
      </c>
      <c r="AF38" s="15" t="s">
        <v>89</v>
      </c>
      <c r="AG38" s="41" t="s">
        <v>89</v>
      </c>
      <c r="AH38" s="15" t="s">
        <v>105</v>
      </c>
      <c r="AI38" s="15" t="s">
        <v>106</v>
      </c>
      <c r="AJ38" s="15" t="s">
        <v>107</v>
      </c>
      <c r="AK38" s="15" t="s">
        <v>108</v>
      </c>
      <c r="AL38" s="41" t="s">
        <v>108</v>
      </c>
      <c r="AM38" s="15" t="s">
        <v>160</v>
      </c>
      <c r="AN38" s="15" t="s">
        <v>161</v>
      </c>
      <c r="AO38" s="15" t="s">
        <v>162</v>
      </c>
      <c r="AP38" s="15" t="s">
        <v>163</v>
      </c>
      <c r="AQ38" s="41" t="s">
        <v>163</v>
      </c>
      <c r="AR38" s="15" t="s">
        <v>191</v>
      </c>
      <c r="AS38" s="15" t="s">
        <v>192</v>
      </c>
      <c r="AT38" s="15" t="s">
        <v>193</v>
      </c>
      <c r="AU38" s="15" t="s">
        <v>194</v>
      </c>
      <c r="AV38" s="41" t="s">
        <v>194</v>
      </c>
    </row>
    <row r="39" spans="2:48" ht="16.2" x14ac:dyDescent="0.45">
      <c r="B39" s="467"/>
      <c r="C39" s="468"/>
      <c r="D39" s="14" t="s">
        <v>19</v>
      </c>
      <c r="E39" s="14" t="s">
        <v>81</v>
      </c>
      <c r="F39" s="14" t="s">
        <v>85</v>
      </c>
      <c r="G39" s="14" t="s">
        <v>95</v>
      </c>
      <c r="H39" s="40" t="s">
        <v>96</v>
      </c>
      <c r="I39" s="14" t="s">
        <v>97</v>
      </c>
      <c r="J39" s="14" t="s">
        <v>98</v>
      </c>
      <c r="K39" s="14" t="s">
        <v>99</v>
      </c>
      <c r="L39" s="14" t="s">
        <v>142</v>
      </c>
      <c r="M39" s="40" t="s">
        <v>143</v>
      </c>
      <c r="N39" s="14" t="s">
        <v>149</v>
      </c>
      <c r="O39" s="14" t="s">
        <v>157</v>
      </c>
      <c r="P39" s="14" t="s">
        <v>159</v>
      </c>
      <c r="Q39" s="14" t="s">
        <v>172</v>
      </c>
      <c r="R39" s="40" t="s">
        <v>173</v>
      </c>
      <c r="S39" s="14" t="s">
        <v>188</v>
      </c>
      <c r="T39" s="14" t="s">
        <v>189</v>
      </c>
      <c r="U39" s="14" t="s">
        <v>204</v>
      </c>
      <c r="V39" s="12" t="s">
        <v>25</v>
      </c>
      <c r="W39" s="42" t="s">
        <v>26</v>
      </c>
      <c r="X39" s="12" t="s">
        <v>27</v>
      </c>
      <c r="Y39" s="12" t="s">
        <v>28</v>
      </c>
      <c r="Z39" s="12" t="s">
        <v>29</v>
      </c>
      <c r="AA39" s="12" t="s">
        <v>30</v>
      </c>
      <c r="AB39" s="42" t="s">
        <v>31</v>
      </c>
      <c r="AC39" s="12" t="s">
        <v>90</v>
      </c>
      <c r="AD39" s="12" t="s">
        <v>91</v>
      </c>
      <c r="AE39" s="12" t="s">
        <v>92</v>
      </c>
      <c r="AF39" s="12" t="s">
        <v>93</v>
      </c>
      <c r="AG39" s="42" t="s">
        <v>94</v>
      </c>
      <c r="AH39" s="12" t="s">
        <v>109</v>
      </c>
      <c r="AI39" s="12" t="s">
        <v>110</v>
      </c>
      <c r="AJ39" s="12" t="s">
        <v>111</v>
      </c>
      <c r="AK39" s="12" t="s">
        <v>112</v>
      </c>
      <c r="AL39" s="42" t="s">
        <v>113</v>
      </c>
      <c r="AM39" s="12" t="s">
        <v>164</v>
      </c>
      <c r="AN39" s="12" t="s">
        <v>165</v>
      </c>
      <c r="AO39" s="12" t="s">
        <v>166</v>
      </c>
      <c r="AP39" s="12" t="s">
        <v>167</v>
      </c>
      <c r="AQ39" s="42" t="s">
        <v>168</v>
      </c>
      <c r="AR39" s="12" t="s">
        <v>195</v>
      </c>
      <c r="AS39" s="12" t="s">
        <v>196</v>
      </c>
      <c r="AT39" s="12" t="s">
        <v>197</v>
      </c>
      <c r="AU39" s="12" t="s">
        <v>198</v>
      </c>
      <c r="AV39" s="42" t="s">
        <v>199</v>
      </c>
    </row>
    <row r="40" spans="2:48" ht="17.399999999999999" x14ac:dyDescent="0.45">
      <c r="B40" s="455" t="s">
        <v>174</v>
      </c>
      <c r="C40" s="456"/>
      <c r="D40" s="14"/>
      <c r="E40" s="14"/>
      <c r="F40" s="14"/>
      <c r="G40" s="14"/>
      <c r="H40" s="40"/>
      <c r="I40" s="14"/>
      <c r="J40" s="14"/>
      <c r="K40" s="14"/>
      <c r="L40" s="14"/>
      <c r="M40" s="40"/>
      <c r="N40" s="14"/>
      <c r="O40" s="14"/>
      <c r="P40" s="14"/>
      <c r="Q40" s="14"/>
      <c r="R40" s="40"/>
      <c r="S40" s="14"/>
      <c r="T40" s="14"/>
      <c r="U40" s="14"/>
      <c r="V40" s="12"/>
      <c r="W40" s="42"/>
      <c r="X40" s="12"/>
      <c r="Y40" s="12"/>
      <c r="Z40" s="12"/>
      <c r="AA40" s="12"/>
      <c r="AB40" s="42"/>
      <c r="AC40" s="12"/>
      <c r="AD40" s="12"/>
      <c r="AE40" s="12"/>
      <c r="AF40" s="12"/>
      <c r="AG40" s="42"/>
      <c r="AH40" s="12"/>
      <c r="AI40" s="12"/>
      <c r="AJ40" s="12"/>
      <c r="AK40" s="12"/>
      <c r="AL40" s="42"/>
      <c r="AM40" s="12"/>
      <c r="AN40" s="12"/>
      <c r="AO40" s="12"/>
      <c r="AP40" s="12"/>
      <c r="AQ40" s="42"/>
      <c r="AR40" s="12"/>
      <c r="AS40" s="12"/>
      <c r="AT40" s="12"/>
      <c r="AU40" s="12"/>
      <c r="AV40" s="42"/>
    </row>
    <row r="41" spans="2:48" s="8" customFormat="1" outlineLevel="1" x14ac:dyDescent="0.3">
      <c r="B41" s="457" t="s">
        <v>175</v>
      </c>
      <c r="C41" s="458"/>
      <c r="D41" s="21">
        <v>9777</v>
      </c>
      <c r="E41" s="21">
        <v>9776</v>
      </c>
      <c r="F41" s="116">
        <v>9857</v>
      </c>
      <c r="G41" s="21">
        <v>9974</v>
      </c>
      <c r="H41" s="57"/>
      <c r="I41" s="21">
        <v>10020</v>
      </c>
      <c r="J41" s="21">
        <v>10051</v>
      </c>
      <c r="K41" s="21">
        <v>10017</v>
      </c>
      <c r="L41" s="21">
        <v>10109</v>
      </c>
      <c r="M41" s="57"/>
      <c r="N41" s="21">
        <v>10029</v>
      </c>
      <c r="O41" s="21">
        <f>+N41+O42</f>
        <v>9820</v>
      </c>
      <c r="P41" s="21">
        <f>+O41+P42</f>
        <v>9860</v>
      </c>
      <c r="Q41" s="21">
        <f>+P41+Q42</f>
        <v>9861</v>
      </c>
      <c r="R41" s="191"/>
      <c r="S41" s="21">
        <f>+Q41+S42</f>
        <v>9900</v>
      </c>
      <c r="T41" s="21">
        <f>+S41+T42</f>
        <v>9954</v>
      </c>
      <c r="U41" s="21">
        <f>+T41+U42</f>
        <v>10050</v>
      </c>
      <c r="V41" s="21">
        <f>+U41+V42</f>
        <v>10146</v>
      </c>
      <c r="W41" s="191">
        <f>V41</f>
        <v>10146</v>
      </c>
      <c r="X41" s="21">
        <f>+V41+X42</f>
        <v>10206.5</v>
      </c>
      <c r="Y41" s="21">
        <f>+X41+Y42</f>
        <v>10267</v>
      </c>
      <c r="Z41" s="21">
        <f>+Y41+Z42</f>
        <v>10327.5</v>
      </c>
      <c r="AA41" s="21">
        <f>+Z41+AA42</f>
        <v>10388</v>
      </c>
      <c r="AB41" s="191">
        <f>AA41</f>
        <v>10388</v>
      </c>
      <c r="AC41" s="21">
        <f>+AA41+AC42</f>
        <v>10460</v>
      </c>
      <c r="AD41" s="21">
        <f>+AC41+AD42</f>
        <v>10532</v>
      </c>
      <c r="AE41" s="21">
        <f>+AD41+AE42</f>
        <v>10605</v>
      </c>
      <c r="AF41" s="21">
        <f>+AE41+AF42</f>
        <v>10678</v>
      </c>
      <c r="AG41" s="191">
        <f>AF41</f>
        <v>10678</v>
      </c>
      <c r="AH41" s="21">
        <f>+AF41+AH42</f>
        <v>10764</v>
      </c>
      <c r="AI41" s="21">
        <f>+AH41+AI42</f>
        <v>10850</v>
      </c>
      <c r="AJ41" s="21">
        <f>+AI41+AJ42</f>
        <v>10936</v>
      </c>
      <c r="AK41" s="21">
        <f>+AJ41+AK42</f>
        <v>11022</v>
      </c>
      <c r="AL41" s="191">
        <f>AK41</f>
        <v>11022</v>
      </c>
      <c r="AM41" s="21">
        <f>+AK41+AM42</f>
        <v>11118</v>
      </c>
      <c r="AN41" s="21">
        <f>+AM41+AN42</f>
        <v>11214</v>
      </c>
      <c r="AO41" s="21">
        <f>+AN41+AO42</f>
        <v>11310</v>
      </c>
      <c r="AP41" s="21">
        <f>+AO41+AP42</f>
        <v>11406</v>
      </c>
      <c r="AQ41" s="191">
        <f>AP41</f>
        <v>11406</v>
      </c>
      <c r="AR41" s="21">
        <f>+AP41+AR42</f>
        <v>11502</v>
      </c>
      <c r="AS41" s="21">
        <f>+AR41+AS42</f>
        <v>11598</v>
      </c>
      <c r="AT41" s="21">
        <f>+AS41+AT42</f>
        <v>11694</v>
      </c>
      <c r="AU41" s="21">
        <f>+AT41+AU42</f>
        <v>11790</v>
      </c>
      <c r="AV41" s="191">
        <f>AU41</f>
        <v>11790</v>
      </c>
    </row>
    <row r="42" spans="2:48" outlineLevel="1" x14ac:dyDescent="0.3">
      <c r="B42" s="180" t="s">
        <v>46</v>
      </c>
      <c r="C42" s="201"/>
      <c r="D42" s="101">
        <f>+D41-9690</f>
        <v>87</v>
      </c>
      <c r="E42" s="101">
        <f>E41-D41</f>
        <v>-1</v>
      </c>
      <c r="F42" s="101">
        <f>F41-E41</f>
        <v>81</v>
      </c>
      <c r="G42" s="101">
        <f>G41-F41</f>
        <v>117</v>
      </c>
      <c r="H42" s="122">
        <f>+SUM(D42:G42)</f>
        <v>284</v>
      </c>
      <c r="I42" s="101">
        <f>I41-G41</f>
        <v>46</v>
      </c>
      <c r="J42" s="101">
        <f>J41-I41</f>
        <v>31</v>
      </c>
      <c r="K42" s="101">
        <f>K41-J41</f>
        <v>-34</v>
      </c>
      <c r="L42" s="101">
        <f>L41-K41</f>
        <v>92</v>
      </c>
      <c r="M42" s="122"/>
      <c r="N42" s="101">
        <v>-80</v>
      </c>
      <c r="O42" s="101">
        <v>-209</v>
      </c>
      <c r="P42" s="101">
        <v>40</v>
      </c>
      <c r="Q42" s="101">
        <v>1</v>
      </c>
      <c r="R42" s="26"/>
      <c r="S42" s="101">
        <v>39</v>
      </c>
      <c r="T42" s="101">
        <v>54</v>
      </c>
      <c r="U42" s="101">
        <v>96</v>
      </c>
      <c r="V42" s="33">
        <v>96</v>
      </c>
      <c r="W42" s="122">
        <f>+SUM(S42:V42)</f>
        <v>285</v>
      </c>
      <c r="X42" s="33">
        <v>60.5</v>
      </c>
      <c r="Y42" s="33">
        <v>60.5</v>
      </c>
      <c r="Z42" s="33">
        <v>60.5</v>
      </c>
      <c r="AA42" s="33">
        <v>60.5</v>
      </c>
      <c r="AB42" s="26">
        <f>+SUM(X42:AA42)</f>
        <v>242</v>
      </c>
      <c r="AC42" s="33">
        <v>72</v>
      </c>
      <c r="AD42" s="33">
        <v>72</v>
      </c>
      <c r="AE42" s="33">
        <v>73</v>
      </c>
      <c r="AF42" s="33">
        <v>73</v>
      </c>
      <c r="AG42" s="26">
        <f>+SUM(AC42:AF42)</f>
        <v>290</v>
      </c>
      <c r="AH42" s="33">
        <v>86</v>
      </c>
      <c r="AI42" s="33">
        <v>86</v>
      </c>
      <c r="AJ42" s="33">
        <v>86</v>
      </c>
      <c r="AK42" s="33">
        <v>86</v>
      </c>
      <c r="AL42" s="26">
        <f>+SUM(AH42:AK42)</f>
        <v>344</v>
      </c>
      <c r="AM42" s="33">
        <v>96</v>
      </c>
      <c r="AN42" s="33">
        <v>96</v>
      </c>
      <c r="AO42" s="33">
        <v>96</v>
      </c>
      <c r="AP42" s="33">
        <v>96</v>
      </c>
      <c r="AQ42" s="26">
        <f>+SUM(AM42:AP42)</f>
        <v>384</v>
      </c>
      <c r="AR42" s="33">
        <v>96</v>
      </c>
      <c r="AS42" s="33">
        <v>96</v>
      </c>
      <c r="AT42" s="33">
        <v>96</v>
      </c>
      <c r="AU42" s="33">
        <v>96</v>
      </c>
      <c r="AV42" s="26">
        <f>+SUM(AR42:AU42)</f>
        <v>384</v>
      </c>
    </row>
    <row r="43" spans="2:48" outlineLevel="1" x14ac:dyDescent="0.3">
      <c r="B43" s="180" t="s">
        <v>201</v>
      </c>
      <c r="C43" s="201"/>
      <c r="D43" s="101"/>
      <c r="E43" s="101">
        <f>AVERAGE(D41,E41)</f>
        <v>9776.5</v>
      </c>
      <c r="F43" s="101">
        <f t="shared" ref="F43:G43" si="84">AVERAGE(E41,F41)</f>
        <v>9816.5</v>
      </c>
      <c r="G43" s="101">
        <f t="shared" si="84"/>
        <v>9915.5</v>
      </c>
      <c r="H43" s="122"/>
      <c r="I43" s="101">
        <f>AVERAGE(G41,I41)</f>
        <v>9997</v>
      </c>
      <c r="J43" s="101">
        <f>AVERAGE(I41,J41)</f>
        <v>10035.5</v>
      </c>
      <c r="K43" s="101">
        <f t="shared" ref="K43:L43" si="85">AVERAGE(J41,K41)</f>
        <v>10034</v>
      </c>
      <c r="L43" s="101">
        <f t="shared" si="85"/>
        <v>10063</v>
      </c>
      <c r="M43" s="122"/>
      <c r="N43" s="101">
        <f>AVERAGE(L41,N41)</f>
        <v>10069</v>
      </c>
      <c r="O43" s="101">
        <f>AVERAGE(N41,O41)</f>
        <v>9924.5</v>
      </c>
      <c r="P43" s="101">
        <f t="shared" ref="P43:Q43" si="86">AVERAGE(O41,P41)</f>
        <v>9840</v>
      </c>
      <c r="Q43" s="101">
        <f t="shared" si="86"/>
        <v>9860.5</v>
      </c>
      <c r="R43" s="122"/>
      <c r="S43" s="101">
        <f>AVERAGE(Q41,S41)</f>
        <v>9880.5</v>
      </c>
      <c r="T43" s="101">
        <f>AVERAGE(S41,T41)</f>
        <v>9927</v>
      </c>
      <c r="U43" s="101">
        <f t="shared" ref="U43:V43" si="87">AVERAGE(T41,U41)</f>
        <v>10002</v>
      </c>
      <c r="V43" s="101">
        <f t="shared" si="87"/>
        <v>10098</v>
      </c>
      <c r="W43" s="122"/>
      <c r="X43" s="101">
        <f>AVERAGE(V41,X41)</f>
        <v>10176.25</v>
      </c>
      <c r="Y43" s="101">
        <f>AVERAGE(X41,Y41)</f>
        <v>10236.75</v>
      </c>
      <c r="Z43" s="101">
        <f t="shared" ref="Z43:AA43" si="88">AVERAGE(Y41,Z41)</f>
        <v>10297.25</v>
      </c>
      <c r="AA43" s="101">
        <f t="shared" si="88"/>
        <v>10357.75</v>
      </c>
      <c r="AB43" s="122"/>
      <c r="AC43" s="101">
        <f>AVERAGE(AA41,AC41)</f>
        <v>10424</v>
      </c>
      <c r="AD43" s="101">
        <f>AVERAGE(AC41,AD41)</f>
        <v>10496</v>
      </c>
      <c r="AE43" s="101">
        <f t="shared" ref="AE43" si="89">AVERAGE(AD41,AE41)</f>
        <v>10568.5</v>
      </c>
      <c r="AF43" s="101">
        <f t="shared" ref="AF43" si="90">AVERAGE(AE41,AF41)</f>
        <v>10641.5</v>
      </c>
      <c r="AG43" s="122"/>
      <c r="AH43" s="101">
        <f>AVERAGE(AF41,AH41)</f>
        <v>10721</v>
      </c>
      <c r="AI43" s="101">
        <f>AVERAGE(AH41,AI41)</f>
        <v>10807</v>
      </c>
      <c r="AJ43" s="101">
        <f t="shared" ref="AJ43" si="91">AVERAGE(AI41,AJ41)</f>
        <v>10893</v>
      </c>
      <c r="AK43" s="101">
        <f t="shared" ref="AK43" si="92">AVERAGE(AJ41,AK41)</f>
        <v>10979</v>
      </c>
      <c r="AL43" s="122"/>
      <c r="AM43" s="101">
        <f>AVERAGE(AK41,AM41)</f>
        <v>11070</v>
      </c>
      <c r="AN43" s="101">
        <f>AVERAGE(AM41,AN41)</f>
        <v>11166</v>
      </c>
      <c r="AO43" s="101">
        <f t="shared" ref="AO43" si="93">AVERAGE(AN41,AO41)</f>
        <v>11262</v>
      </c>
      <c r="AP43" s="101">
        <f t="shared" ref="AP43" si="94">AVERAGE(AO41,AP41)</f>
        <v>11358</v>
      </c>
      <c r="AQ43" s="122"/>
      <c r="AR43" s="101">
        <f>AVERAGE(AP41,AR41)</f>
        <v>11454</v>
      </c>
      <c r="AS43" s="101">
        <f>AVERAGE(AR41,AS41)</f>
        <v>11550</v>
      </c>
      <c r="AT43" s="101">
        <f t="shared" ref="AT43" si="95">AVERAGE(AS41,AT41)</f>
        <v>11646</v>
      </c>
      <c r="AU43" s="101">
        <f t="shared" ref="AU43" si="96">AVERAGE(AT41,AU41)</f>
        <v>11742</v>
      </c>
      <c r="AV43" s="122"/>
    </row>
    <row r="44" spans="2:48" s="8" customFormat="1" outlineLevel="1" x14ac:dyDescent="0.3">
      <c r="B44" s="180" t="s">
        <v>205</v>
      </c>
      <c r="C44" s="206"/>
      <c r="D44" s="43"/>
      <c r="E44" s="43">
        <f>+E45/E43</f>
        <v>0.39376054825346496</v>
      </c>
      <c r="F44" s="43">
        <f>+F45/F43</f>
        <v>0.42603779351092547</v>
      </c>
      <c r="G44" s="43">
        <f>+G45/G43</f>
        <v>0.4199687358176592</v>
      </c>
      <c r="H44" s="97"/>
      <c r="I44" s="43">
        <f>+I45/I43</f>
        <v>0.44723417025107531</v>
      </c>
      <c r="J44" s="43">
        <f>+J45/J43</f>
        <v>0.38499327387773402</v>
      </c>
      <c r="K44" s="43">
        <f>+K45/K43</f>
        <v>0.25601953358580826</v>
      </c>
      <c r="L44" s="43">
        <f>+L45/L43</f>
        <v>0.3851038457716387</v>
      </c>
      <c r="M44" s="97"/>
      <c r="N44" s="43">
        <f>+N45/N43</f>
        <v>0.42554374813784884</v>
      </c>
      <c r="O44" s="43">
        <f>+O45/O43</f>
        <v>0.43008715804322634</v>
      </c>
      <c r="P44" s="43">
        <f>+P45/P43</f>
        <v>0.50099593495934958</v>
      </c>
      <c r="Q44" s="43">
        <f>+Q45/Q43</f>
        <v>0.53286344505856698</v>
      </c>
      <c r="R44" s="97"/>
      <c r="S44" s="43">
        <f>+S45/S43</f>
        <v>0.52771620869389202</v>
      </c>
      <c r="T44" s="43">
        <f>+T45/T43</f>
        <v>0.49725999798529263</v>
      </c>
      <c r="U44" s="43">
        <f>+U45/U43</f>
        <v>0.55120975804839034</v>
      </c>
      <c r="V44" s="219">
        <f>Q44*1.01</f>
        <v>0.5381920795091526</v>
      </c>
      <c r="W44" s="132"/>
      <c r="X44" s="219">
        <f>S44*1.07</f>
        <v>0.5646563433024645</v>
      </c>
      <c r="Y44" s="219">
        <f>T44*1.07</f>
        <v>0.53206819784426318</v>
      </c>
      <c r="Z44" s="219">
        <f>U44*1.05</f>
        <v>0.57877024595080984</v>
      </c>
      <c r="AA44" s="219">
        <f>V44*1.05</f>
        <v>0.56510168348461021</v>
      </c>
      <c r="AB44" s="97"/>
      <c r="AC44" s="219">
        <f>X44*1.05</f>
        <v>0.59288916046758777</v>
      </c>
      <c r="AD44" s="219">
        <f>Y44*1.05</f>
        <v>0.55867160773647639</v>
      </c>
      <c r="AE44" s="219">
        <f>Z44*1.05</f>
        <v>0.60770875824835036</v>
      </c>
      <c r="AF44" s="219">
        <f>AA44*1.05</f>
        <v>0.59335676765884071</v>
      </c>
      <c r="AG44" s="97"/>
      <c r="AH44" s="219">
        <f>AC44*1.07</f>
        <v>0.63439140170031894</v>
      </c>
      <c r="AI44" s="219">
        <f>AD44*1.07</f>
        <v>0.59777862027802975</v>
      </c>
      <c r="AJ44" s="219">
        <f>AE44*1.07</f>
        <v>0.65024837132573488</v>
      </c>
      <c r="AK44" s="219">
        <f>AF44*1.07</f>
        <v>0.63489174139495963</v>
      </c>
      <c r="AL44" s="97"/>
      <c r="AM44" s="219">
        <f>AH44*1.05</f>
        <v>0.66611097178533496</v>
      </c>
      <c r="AN44" s="219">
        <f>AI44*1.05</f>
        <v>0.6276675512919313</v>
      </c>
      <c r="AO44" s="219">
        <f>AJ44*1.05</f>
        <v>0.6827607898920216</v>
      </c>
      <c r="AP44" s="219">
        <f>AK44*1.05</f>
        <v>0.66663632846470766</v>
      </c>
      <c r="AQ44" s="97"/>
      <c r="AR44" s="219">
        <f>AM44*1.03</f>
        <v>0.68609430093889501</v>
      </c>
      <c r="AS44" s="219">
        <f>AN44*1.03</f>
        <v>0.64649757783068929</v>
      </c>
      <c r="AT44" s="219">
        <f>AO44*1.03</f>
        <v>0.70324361358878229</v>
      </c>
      <c r="AU44" s="219">
        <f>AP44*1.03</f>
        <v>0.68663541831864894</v>
      </c>
      <c r="AV44" s="97"/>
    </row>
    <row r="45" spans="2:48" s="8" customFormat="1" outlineLevel="1" x14ac:dyDescent="0.3">
      <c r="B45" s="445" t="s">
        <v>176</v>
      </c>
      <c r="C45" s="446"/>
      <c r="D45" s="50">
        <v>4092.2</v>
      </c>
      <c r="E45" s="50">
        <v>3849.6</v>
      </c>
      <c r="F45" s="50">
        <v>4182.2</v>
      </c>
      <c r="G45" s="50">
        <v>4164.2</v>
      </c>
      <c r="H45" s="97">
        <f>SUM(D45:G45)</f>
        <v>16288.2</v>
      </c>
      <c r="I45" s="50">
        <v>4471</v>
      </c>
      <c r="J45" s="50">
        <v>3863.6</v>
      </c>
      <c r="K45" s="103">
        <v>2568.9</v>
      </c>
      <c r="L45" s="50">
        <v>3875.3</v>
      </c>
      <c r="M45" s="97"/>
      <c r="N45" s="50">
        <v>4284.8</v>
      </c>
      <c r="O45" s="50">
        <v>4268.3999999999996</v>
      </c>
      <c r="P45" s="50">
        <v>4929.8</v>
      </c>
      <c r="Q45" s="103">
        <v>5254.3</v>
      </c>
      <c r="R45" s="132">
        <f>SUM(N45:Q45)</f>
        <v>18737.3</v>
      </c>
      <c r="S45" s="50">
        <v>5214.1000000000004</v>
      </c>
      <c r="T45" s="50">
        <v>4936.3</v>
      </c>
      <c r="U45" s="50">
        <v>5513.2</v>
      </c>
      <c r="V45" s="50">
        <f>V44*V43</f>
        <v>5434.6636188834227</v>
      </c>
      <c r="W45" s="132">
        <f>SUM(S45:V45)</f>
        <v>21098.263618883426</v>
      </c>
      <c r="X45" s="50">
        <f>X44*X43</f>
        <v>5746.0841135317041</v>
      </c>
      <c r="Y45" s="50">
        <f>Y44*Y43</f>
        <v>5446.6491242822613</v>
      </c>
      <c r="Z45" s="50">
        <f>Z44*Z43</f>
        <v>5959.741915116977</v>
      </c>
      <c r="AA45" s="50">
        <f>AA44*AA43</f>
        <v>5853.1819621127215</v>
      </c>
      <c r="AB45" s="97">
        <f>SUM(X45:AA45)</f>
        <v>23005.657115043665</v>
      </c>
      <c r="AC45" s="50">
        <f>AC44*AC43</f>
        <v>6180.2766087141354</v>
      </c>
      <c r="AD45" s="50">
        <f>AD44*AD43</f>
        <v>5863.8171948020563</v>
      </c>
      <c r="AE45" s="50">
        <f>AE44*AE43</f>
        <v>6422.5700115476911</v>
      </c>
      <c r="AF45" s="50">
        <f>AF44*AF43</f>
        <v>6314.2060430415531</v>
      </c>
      <c r="AG45" s="97">
        <f>SUM(AC45:AF45)</f>
        <v>24780.869858105434</v>
      </c>
      <c r="AH45" s="50">
        <f>AH44*AH43</f>
        <v>6801.3102176291195</v>
      </c>
      <c r="AI45" s="50">
        <f>AI44*AI43</f>
        <v>6460.1935493446672</v>
      </c>
      <c r="AJ45" s="50">
        <f>AJ44*AJ43</f>
        <v>7083.1555088512296</v>
      </c>
      <c r="AK45" s="50">
        <f>AK44*AK43</f>
        <v>6970.4764287752614</v>
      </c>
      <c r="AL45" s="97">
        <f>SUM(AH45:AK45)</f>
        <v>27315.135704600278</v>
      </c>
      <c r="AM45" s="50">
        <f>AM44*AM43</f>
        <v>7373.8484576636583</v>
      </c>
      <c r="AN45" s="50">
        <f>AN44*AN43</f>
        <v>7008.5358777257052</v>
      </c>
      <c r="AO45" s="50">
        <f>AO44*AO43</f>
        <v>7689.2520157639474</v>
      </c>
      <c r="AP45" s="50">
        <f>AP44*AP43</f>
        <v>7571.6554187021493</v>
      </c>
      <c r="AQ45" s="97">
        <f>SUM(AM45:AP45)</f>
        <v>29643.291769855463</v>
      </c>
      <c r="AR45" s="50">
        <f>AR44*AR43</f>
        <v>7858.5241229541034</v>
      </c>
      <c r="AS45" s="50">
        <f>AS44*AS43</f>
        <v>7467.0470239444612</v>
      </c>
      <c r="AT45" s="50">
        <f>AT44*AT43</f>
        <v>8189.9751238549588</v>
      </c>
      <c r="AU45" s="50">
        <f>AU44*AU43</f>
        <v>8062.4730818975759</v>
      </c>
      <c r="AV45" s="97">
        <f>SUM(AR45:AU45)</f>
        <v>31578.019352651099</v>
      </c>
    </row>
    <row r="46" spans="2:48" s="8" customFormat="1" outlineLevel="1" x14ac:dyDescent="0.3">
      <c r="B46" s="38" t="s">
        <v>200</v>
      </c>
      <c r="C46" s="206"/>
      <c r="D46" s="43"/>
      <c r="E46" s="43"/>
      <c r="F46" s="43"/>
      <c r="G46" s="43"/>
      <c r="H46" s="97"/>
      <c r="I46" s="27">
        <f>I45/D45-1</f>
        <v>9.2566345730902722E-2</v>
      </c>
      <c r="J46" s="27">
        <f>J45/E45-1</f>
        <v>3.6367414796343311E-3</v>
      </c>
      <c r="K46" s="27">
        <f>K45/F45-1</f>
        <v>-0.38575390942566112</v>
      </c>
      <c r="L46" s="27">
        <f>L45/G45-1</f>
        <v>-6.9377071226165765E-2</v>
      </c>
      <c r="M46" s="97"/>
      <c r="N46" s="27">
        <f>N45/I45-1</f>
        <v>-4.1646164169089617E-2</v>
      </c>
      <c r="O46" s="27">
        <f>O45/J45-1</f>
        <v>0.10477275080236037</v>
      </c>
      <c r="P46" s="27">
        <f>P45/K45-1</f>
        <v>0.91903149207832135</v>
      </c>
      <c r="Q46" s="27">
        <f>Q45/L45-1</f>
        <v>0.35584341857404578</v>
      </c>
      <c r="R46" s="97"/>
      <c r="S46" s="27">
        <f>S45/N45-1</f>
        <v>0.21688293502613898</v>
      </c>
      <c r="T46" s="27">
        <f>T45/O45-1</f>
        <v>0.15647549433042851</v>
      </c>
      <c r="U46" s="27">
        <f>U45/P45-1</f>
        <v>0.11834151486875721</v>
      </c>
      <c r="V46" s="27">
        <f>V45/Q45-1</f>
        <v>3.4326859692713096E-2</v>
      </c>
      <c r="W46" s="98">
        <f>W45/R45-1</f>
        <v>0.12600340598076709</v>
      </c>
      <c r="X46" s="27">
        <f t="shared" ref="X46:AV46" si="97">X45/S45-1</f>
        <v>0.10202798441374417</v>
      </c>
      <c r="Y46" s="27">
        <f t="shared" si="97"/>
        <v>0.10338697491689341</v>
      </c>
      <c r="Z46" s="27">
        <f t="shared" si="97"/>
        <v>8.0995050989802087E-2</v>
      </c>
      <c r="AA46" s="27">
        <f t="shared" si="97"/>
        <v>7.700906120023765E-2</v>
      </c>
      <c r="AB46" s="98">
        <f t="shared" si="97"/>
        <v>9.0405235739545731E-2</v>
      </c>
      <c r="AC46" s="27">
        <f t="shared" si="97"/>
        <v>7.5563198624247763E-2</v>
      </c>
      <c r="AD46" s="27">
        <f t="shared" si="97"/>
        <v>7.6591691699025688E-2</v>
      </c>
      <c r="AE46" s="27">
        <f t="shared" si="97"/>
        <v>7.7659083735948986E-2</v>
      </c>
      <c r="AF46" s="27">
        <f t="shared" si="97"/>
        <v>7.8764693104197203E-2</v>
      </c>
      <c r="AG46" s="98">
        <f t="shared" si="97"/>
        <v>7.716418332171604E-2</v>
      </c>
      <c r="AH46" s="27">
        <f t="shared" si="97"/>
        <v>0.10048637759017653</v>
      </c>
      <c r="AI46" s="27">
        <f t="shared" si="97"/>
        <v>0.10170445884146329</v>
      </c>
      <c r="AJ46" s="27">
        <f t="shared" si="97"/>
        <v>0.10285376354260278</v>
      </c>
      <c r="AK46" s="27">
        <f t="shared" si="97"/>
        <v>0.10393553540384359</v>
      </c>
      <c r="AL46" s="98">
        <f t="shared" si="97"/>
        <v>0.10226702537102117</v>
      </c>
      <c r="AM46" s="27">
        <f t="shared" si="97"/>
        <v>8.4180580169760377E-2</v>
      </c>
      <c r="AN46" s="27">
        <f t="shared" si="97"/>
        <v>8.4880170260016818E-2</v>
      </c>
      <c r="AO46" s="27">
        <f t="shared" si="97"/>
        <v>8.5568713852933076E-2</v>
      </c>
      <c r="AP46" s="27">
        <f t="shared" si="97"/>
        <v>8.624647053465706E-2</v>
      </c>
      <c r="AQ46" s="98">
        <f t="shared" si="97"/>
        <v>8.5233186846774167E-2</v>
      </c>
      <c r="AR46" s="27">
        <f t="shared" si="97"/>
        <v>6.5728997289972835E-2</v>
      </c>
      <c r="AS46" s="27">
        <f t="shared" si="97"/>
        <v>6.5421816227834606E-2</v>
      </c>
      <c r="AT46" s="27">
        <f t="shared" si="97"/>
        <v>6.5119872136387924E-2</v>
      </c>
      <c r="AU46" s="27">
        <f t="shared" si="97"/>
        <v>6.4823032223983112E-2</v>
      </c>
      <c r="AV46" s="98">
        <f t="shared" si="97"/>
        <v>6.5266961504021559E-2</v>
      </c>
    </row>
    <row r="47" spans="2:48" outlineLevel="1" x14ac:dyDescent="0.3">
      <c r="B47" s="220" t="s">
        <v>44</v>
      </c>
      <c r="C47" s="221"/>
      <c r="D47" s="222">
        <v>0.04</v>
      </c>
      <c r="E47" s="222">
        <v>0</v>
      </c>
      <c r="F47" s="222">
        <v>0.03</v>
      </c>
      <c r="G47" s="222">
        <v>0.03</v>
      </c>
      <c r="H47" s="223"/>
      <c r="I47" s="222">
        <v>0.02</v>
      </c>
      <c r="J47" s="222">
        <v>-7.0000000000000007E-2</v>
      </c>
      <c r="K47" s="222">
        <v>-0.53</v>
      </c>
      <c r="L47" s="224">
        <v>-0.25</v>
      </c>
      <c r="M47" s="223"/>
      <c r="N47" s="222">
        <v>-0.21</v>
      </c>
      <c r="O47" s="222">
        <v>-0.1</v>
      </c>
      <c r="P47" s="222">
        <v>0.82</v>
      </c>
      <c r="Q47" s="222">
        <v>0.18</v>
      </c>
      <c r="R47" s="225"/>
      <c r="S47" s="224">
        <v>0.12</v>
      </c>
      <c r="T47" s="224">
        <v>0.05</v>
      </c>
      <c r="U47" s="224">
        <v>0.01</v>
      </c>
      <c r="V47" s="224"/>
      <c r="W47" s="223"/>
      <c r="X47" s="224"/>
      <c r="Y47" s="224"/>
      <c r="Z47" s="224"/>
      <c r="AA47" s="224"/>
      <c r="AB47" s="376">
        <f>AB59/W59-1</f>
        <v>9.1365004210739231E-2</v>
      </c>
      <c r="AC47" s="224"/>
      <c r="AD47" s="224"/>
      <c r="AE47" s="224"/>
      <c r="AF47" s="224"/>
      <c r="AG47" s="225"/>
      <c r="AH47" s="224"/>
      <c r="AI47" s="224"/>
      <c r="AJ47" s="224"/>
      <c r="AK47" s="224"/>
      <c r="AL47" s="225"/>
      <c r="AM47" s="224"/>
      <c r="AN47" s="224"/>
      <c r="AO47" s="224"/>
      <c r="AP47" s="224"/>
      <c r="AQ47" s="225"/>
      <c r="AR47" s="224"/>
      <c r="AS47" s="224"/>
      <c r="AT47" s="224"/>
      <c r="AU47" s="224"/>
      <c r="AV47" s="225"/>
    </row>
    <row r="48" spans="2:48" outlineLevel="1" x14ac:dyDescent="0.3">
      <c r="B48" s="38" t="s">
        <v>43</v>
      </c>
      <c r="C48" s="207"/>
      <c r="D48" s="226">
        <v>0</v>
      </c>
      <c r="E48" s="226">
        <v>0.04</v>
      </c>
      <c r="F48" s="226">
        <v>0.04</v>
      </c>
      <c r="G48" s="226">
        <v>0.03</v>
      </c>
      <c r="H48" s="217"/>
      <c r="I48" s="226">
        <v>0.03</v>
      </c>
      <c r="J48" s="226">
        <v>0.05</v>
      </c>
      <c r="K48" s="226">
        <v>0.27</v>
      </c>
      <c r="L48" s="227">
        <v>0.21</v>
      </c>
      <c r="M48" s="217"/>
      <c r="N48" s="226">
        <v>0.2</v>
      </c>
      <c r="O48" s="226">
        <v>0.22</v>
      </c>
      <c r="P48" s="226">
        <v>0.01</v>
      </c>
      <c r="Q48" s="226">
        <v>0.03</v>
      </c>
      <c r="R48" s="218"/>
      <c r="S48" s="227">
        <v>0.06</v>
      </c>
      <c r="T48" s="227">
        <v>7.0000000000000007E-2</v>
      </c>
      <c r="U48" s="228">
        <v>0.08</v>
      </c>
      <c r="V48" s="228"/>
      <c r="W48" s="148"/>
      <c r="X48" s="228"/>
      <c r="Y48" s="228"/>
      <c r="Z48" s="228"/>
      <c r="AA48" s="228"/>
      <c r="AB48" s="362"/>
      <c r="AC48" s="228"/>
      <c r="AD48" s="228"/>
      <c r="AE48" s="228"/>
      <c r="AF48" s="228"/>
      <c r="AG48" s="60"/>
      <c r="AH48" s="228"/>
      <c r="AI48" s="228"/>
      <c r="AJ48" s="228"/>
      <c r="AK48" s="228"/>
      <c r="AL48" s="60"/>
      <c r="AM48" s="228"/>
      <c r="AN48" s="228"/>
      <c r="AO48" s="228"/>
      <c r="AP48" s="228"/>
      <c r="AQ48" s="60"/>
      <c r="AR48" s="228"/>
      <c r="AS48" s="228"/>
      <c r="AT48" s="228"/>
      <c r="AU48" s="228"/>
      <c r="AV48" s="60"/>
    </row>
    <row r="49" spans="2:48" s="8" customFormat="1" outlineLevel="1" x14ac:dyDescent="0.3">
      <c r="B49" s="229" t="s">
        <v>45</v>
      </c>
      <c r="C49" s="230"/>
      <c r="D49" s="231">
        <v>0.04</v>
      </c>
      <c r="E49" s="231">
        <v>4.2999999999999997E-2</v>
      </c>
      <c r="F49" s="231">
        <v>7.0000000000000007E-2</v>
      </c>
      <c r="G49" s="231">
        <v>0.06</v>
      </c>
      <c r="H49" s="232"/>
      <c r="I49" s="231">
        <v>0.06</v>
      </c>
      <c r="J49" s="231">
        <v>-0.03</v>
      </c>
      <c r="K49" s="231">
        <v>-0.41</v>
      </c>
      <c r="L49" s="233">
        <v>-0.09</v>
      </c>
      <c r="M49" s="234"/>
      <c r="N49" s="233">
        <v>-0.06</v>
      </c>
      <c r="O49" s="233">
        <v>0.09</v>
      </c>
      <c r="P49" s="231">
        <v>0.84</v>
      </c>
      <c r="Q49" s="231">
        <v>0.22</v>
      </c>
      <c r="R49" s="235"/>
      <c r="S49" s="233">
        <v>0.18</v>
      </c>
      <c r="T49" s="233">
        <v>0.12</v>
      </c>
      <c r="U49" s="231">
        <v>0.09</v>
      </c>
      <c r="V49" s="231"/>
      <c r="W49" s="232"/>
      <c r="X49" s="233"/>
      <c r="Y49" s="233"/>
      <c r="Z49" s="233"/>
      <c r="AA49" s="233"/>
      <c r="AB49" s="361"/>
      <c r="AC49" s="233"/>
      <c r="AD49" s="233"/>
      <c r="AE49" s="233"/>
      <c r="AF49" s="233"/>
      <c r="AG49" s="232"/>
      <c r="AH49" s="233"/>
      <c r="AI49" s="233"/>
      <c r="AJ49" s="233"/>
      <c r="AK49" s="233"/>
      <c r="AL49" s="232"/>
      <c r="AM49" s="233"/>
      <c r="AN49" s="233"/>
      <c r="AO49" s="233"/>
      <c r="AP49" s="233"/>
      <c r="AQ49" s="232"/>
      <c r="AR49" s="233"/>
      <c r="AS49" s="233"/>
      <c r="AT49" s="233"/>
      <c r="AU49" s="233"/>
      <c r="AV49" s="232"/>
    </row>
    <row r="50" spans="2:48" s="8" customFormat="1" outlineLevel="1" x14ac:dyDescent="0.3">
      <c r="B50" s="451" t="s">
        <v>177</v>
      </c>
      <c r="C50" s="452"/>
      <c r="D50" s="67">
        <v>7876</v>
      </c>
      <c r="E50" s="67">
        <v>7943</v>
      </c>
      <c r="F50" s="117">
        <v>7996</v>
      </c>
      <c r="G50" s="67">
        <v>8093</v>
      </c>
      <c r="H50" s="68"/>
      <c r="I50" s="67">
        <v>8183</v>
      </c>
      <c r="J50" s="67">
        <v>8220</v>
      </c>
      <c r="K50" s="67">
        <v>8218</v>
      </c>
      <c r="L50" s="67">
        <v>6831</v>
      </c>
      <c r="M50" s="68"/>
      <c r="N50" s="67">
        <v>8279</v>
      </c>
      <c r="O50" s="67">
        <f>+N50+O51</f>
        <v>8300</v>
      </c>
      <c r="P50" s="67">
        <f t="shared" ref="P50" si="98">+O50+P51</f>
        <v>8315</v>
      </c>
      <c r="Q50" s="67">
        <v>6965</v>
      </c>
      <c r="R50" s="192"/>
      <c r="S50" s="67">
        <f>+Q50+S51</f>
        <v>6988</v>
      </c>
      <c r="T50" s="67">
        <f>+S50+T51</f>
        <v>6972</v>
      </c>
      <c r="U50" s="67">
        <f t="shared" ref="U50:V50" si="99">+T50+U51</f>
        <v>7000</v>
      </c>
      <c r="V50" s="67">
        <f t="shared" si="99"/>
        <v>7028</v>
      </c>
      <c r="W50" s="253">
        <f>V50</f>
        <v>7028</v>
      </c>
      <c r="X50" s="67">
        <f>+V50+X51</f>
        <v>7096</v>
      </c>
      <c r="Y50" s="67">
        <f>+X50+Y51</f>
        <v>7164</v>
      </c>
      <c r="Z50" s="67">
        <f t="shared" ref="Z50:AA50" si="100">+Y50+Z51</f>
        <v>7232</v>
      </c>
      <c r="AA50" s="67">
        <f t="shared" si="100"/>
        <v>7301</v>
      </c>
      <c r="AB50" s="192">
        <f>AA50</f>
        <v>7301</v>
      </c>
      <c r="AC50" s="67">
        <f>+AA50+AC51</f>
        <v>7383</v>
      </c>
      <c r="AD50" s="67">
        <f>+AC50+AD51</f>
        <v>7465</v>
      </c>
      <c r="AE50" s="67">
        <f t="shared" ref="AE50" si="101">+AD50+AE51</f>
        <v>7547</v>
      </c>
      <c r="AF50" s="67">
        <f t="shared" ref="AF50" si="102">+AE50+AF51</f>
        <v>7630</v>
      </c>
      <c r="AG50" s="192">
        <f>AF50</f>
        <v>7630</v>
      </c>
      <c r="AH50" s="67">
        <f>+AF50+AH51</f>
        <v>7727</v>
      </c>
      <c r="AI50" s="67">
        <f>+AH50+AI51</f>
        <v>7824</v>
      </c>
      <c r="AJ50" s="67">
        <f t="shared" ref="AJ50" si="103">+AI50+AJ51</f>
        <v>7921</v>
      </c>
      <c r="AK50" s="67">
        <f t="shared" ref="AK50" si="104">+AJ50+AK51</f>
        <v>8018</v>
      </c>
      <c r="AL50" s="192">
        <f>AK50</f>
        <v>8018</v>
      </c>
      <c r="AM50" s="67">
        <f>+AK50+AM51</f>
        <v>8046</v>
      </c>
      <c r="AN50" s="67">
        <f>+AM50+AN51</f>
        <v>8074</v>
      </c>
      <c r="AO50" s="67">
        <f t="shared" ref="AO50" si="105">+AN50+AO51</f>
        <v>8102</v>
      </c>
      <c r="AP50" s="67">
        <f t="shared" ref="AP50" si="106">+AO50+AP51</f>
        <v>8130</v>
      </c>
      <c r="AQ50" s="192">
        <f>AP50</f>
        <v>8130</v>
      </c>
      <c r="AR50" s="67">
        <f>+AP50+AR51</f>
        <v>8158</v>
      </c>
      <c r="AS50" s="67">
        <f>+AR50+AS51</f>
        <v>8186</v>
      </c>
      <c r="AT50" s="67">
        <f t="shared" ref="AT50" si="107">+AS50+AT51</f>
        <v>8214</v>
      </c>
      <c r="AU50" s="67">
        <f t="shared" ref="AU50" si="108">+AT50+AU51</f>
        <v>8242</v>
      </c>
      <c r="AV50" s="192">
        <f>AU50</f>
        <v>8242</v>
      </c>
    </row>
    <row r="51" spans="2:48" outlineLevel="1" x14ac:dyDescent="0.3">
      <c r="B51" s="180" t="s">
        <v>47</v>
      </c>
      <c r="C51" s="201"/>
      <c r="D51" s="101">
        <f>+D50-7770</f>
        <v>106</v>
      </c>
      <c r="E51" s="101">
        <f>E50-D50</f>
        <v>67</v>
      </c>
      <c r="F51" s="101">
        <f t="shared" ref="F51:G51" si="109">F50-E50</f>
        <v>53</v>
      </c>
      <c r="G51" s="101">
        <f t="shared" si="109"/>
        <v>97</v>
      </c>
      <c r="H51" s="122">
        <f>+SUM(D51:G51)</f>
        <v>323</v>
      </c>
      <c r="I51" s="101">
        <f>I50-G50</f>
        <v>90</v>
      </c>
      <c r="J51" s="101">
        <f t="shared" ref="J51:K51" si="110">J50-I50</f>
        <v>37</v>
      </c>
      <c r="K51" s="101">
        <f t="shared" si="110"/>
        <v>-2</v>
      </c>
      <c r="L51" s="101">
        <v>32</v>
      </c>
      <c r="M51" s="122"/>
      <c r="N51" s="101">
        <v>34</v>
      </c>
      <c r="O51" s="101">
        <v>21</v>
      </c>
      <c r="P51" s="101">
        <v>15</v>
      </c>
      <c r="Q51" s="101">
        <v>73</v>
      </c>
      <c r="R51" s="26"/>
      <c r="S51" s="101">
        <v>23</v>
      </c>
      <c r="T51" s="101">
        <v>-16</v>
      </c>
      <c r="U51" s="101">
        <v>28</v>
      </c>
      <c r="V51" s="33">
        <v>28</v>
      </c>
      <c r="W51" s="122">
        <f>+SUM(S51:V51)</f>
        <v>63</v>
      </c>
      <c r="X51" s="33">
        <v>68</v>
      </c>
      <c r="Y51" s="33">
        <v>68</v>
      </c>
      <c r="Z51" s="33">
        <v>68</v>
      </c>
      <c r="AA51" s="33">
        <v>69</v>
      </c>
      <c r="AB51" s="26">
        <f>+SUM(X51:AA51)</f>
        <v>273</v>
      </c>
      <c r="AC51" s="33">
        <v>82</v>
      </c>
      <c r="AD51" s="33">
        <v>82</v>
      </c>
      <c r="AE51" s="33">
        <v>82</v>
      </c>
      <c r="AF51" s="33">
        <v>83</v>
      </c>
      <c r="AG51" s="26">
        <f>+SUM(AC51:AF51)</f>
        <v>329</v>
      </c>
      <c r="AH51" s="33">
        <v>97</v>
      </c>
      <c r="AI51" s="33">
        <v>97</v>
      </c>
      <c r="AJ51" s="33">
        <v>97</v>
      </c>
      <c r="AK51" s="33">
        <v>97</v>
      </c>
      <c r="AL51" s="26">
        <f>+SUM(AH51:AK51)</f>
        <v>388</v>
      </c>
      <c r="AM51" s="33">
        <v>28</v>
      </c>
      <c r="AN51" s="33">
        <v>28</v>
      </c>
      <c r="AO51" s="33">
        <v>28</v>
      </c>
      <c r="AP51" s="33">
        <v>28</v>
      </c>
      <c r="AQ51" s="26">
        <f>+SUM(AM51:AP51)</f>
        <v>112</v>
      </c>
      <c r="AR51" s="33">
        <v>28</v>
      </c>
      <c r="AS51" s="33">
        <v>28</v>
      </c>
      <c r="AT51" s="33">
        <v>28</v>
      </c>
      <c r="AU51" s="33">
        <v>28</v>
      </c>
      <c r="AV51" s="26">
        <f>+SUM(AR51:AU51)</f>
        <v>112</v>
      </c>
    </row>
    <row r="52" spans="2:48" outlineLevel="1" x14ac:dyDescent="0.3">
      <c r="B52" s="180" t="s">
        <v>49</v>
      </c>
      <c r="C52" s="201"/>
      <c r="D52" s="16">
        <f>AVERAGE(D50,7770)</f>
        <v>7823</v>
      </c>
      <c r="E52" s="16">
        <f>AVERAGE(E50,D50)</f>
        <v>7909.5</v>
      </c>
      <c r="F52" s="16">
        <f t="shared" ref="F52:G52" si="111">AVERAGE(F50,E50)</f>
        <v>7969.5</v>
      </c>
      <c r="G52" s="16">
        <f t="shared" si="111"/>
        <v>8044.5</v>
      </c>
      <c r="H52" s="26"/>
      <c r="I52" s="16">
        <f>AVERAGE(I50,G50)</f>
        <v>8138</v>
      </c>
      <c r="J52" s="16">
        <f>AVERAGE(J50,I50)</f>
        <v>8201.5</v>
      </c>
      <c r="K52" s="16">
        <f t="shared" ref="K52:L52" si="112">AVERAGE(K50,J50)</f>
        <v>8219</v>
      </c>
      <c r="L52" s="16">
        <f t="shared" si="112"/>
        <v>7524.5</v>
      </c>
      <c r="M52" s="6"/>
      <c r="N52" s="16">
        <f>AVERAGE(N50,L50)</f>
        <v>7555</v>
      </c>
      <c r="O52" s="16">
        <f>AVERAGE(O50,N50)</f>
        <v>8289.5</v>
      </c>
      <c r="P52" s="16">
        <f t="shared" ref="P52:Q52" si="113">AVERAGE(P50,O50)</f>
        <v>8307.5</v>
      </c>
      <c r="Q52" s="16">
        <f t="shared" si="113"/>
        <v>7640</v>
      </c>
      <c r="R52" s="6"/>
      <c r="S52" s="16">
        <f>AVERAGE(S50,Q50)</f>
        <v>6976.5</v>
      </c>
      <c r="T52" s="16">
        <f>AVERAGE(T50,S50)</f>
        <v>6980</v>
      </c>
      <c r="U52" s="16">
        <f t="shared" ref="U52:V52" si="114">AVERAGE(U50,T50)</f>
        <v>6986</v>
      </c>
      <c r="V52" s="16">
        <f t="shared" si="114"/>
        <v>7014</v>
      </c>
      <c r="W52" s="130"/>
      <c r="X52" s="16">
        <f>AVERAGE(X50,V50)</f>
        <v>7062</v>
      </c>
      <c r="Y52" s="16">
        <f>AVERAGE(Y50,X50)</f>
        <v>7130</v>
      </c>
      <c r="Z52" s="16">
        <f t="shared" ref="Z52:AA52" si="115">AVERAGE(Z50,Y50)</f>
        <v>7198</v>
      </c>
      <c r="AA52" s="16">
        <f t="shared" si="115"/>
        <v>7266.5</v>
      </c>
      <c r="AB52" s="6"/>
      <c r="AC52" s="16">
        <f>AVERAGE(AC50,AA50)</f>
        <v>7342</v>
      </c>
      <c r="AD52" s="16">
        <f>AVERAGE(AD50,AC50)</f>
        <v>7424</v>
      </c>
      <c r="AE52" s="16">
        <f t="shared" ref="AE52" si="116">AVERAGE(AE50,AD50)</f>
        <v>7506</v>
      </c>
      <c r="AF52" s="16">
        <f t="shared" ref="AF52" si="117">AVERAGE(AF50,AE50)</f>
        <v>7588.5</v>
      </c>
      <c r="AG52" s="6"/>
      <c r="AH52" s="16">
        <f>AVERAGE(AH50,AF50)</f>
        <v>7678.5</v>
      </c>
      <c r="AI52" s="16">
        <f>AVERAGE(AI50,AH50)</f>
        <v>7775.5</v>
      </c>
      <c r="AJ52" s="16">
        <f t="shared" ref="AJ52" si="118">AVERAGE(AJ50,AI50)</f>
        <v>7872.5</v>
      </c>
      <c r="AK52" s="16">
        <f t="shared" ref="AK52" si="119">AVERAGE(AK50,AJ50)</f>
        <v>7969.5</v>
      </c>
      <c r="AL52" s="6"/>
      <c r="AM52" s="16">
        <f>AVERAGE(AM50,AK50)</f>
        <v>8032</v>
      </c>
      <c r="AN52" s="16">
        <f>AVERAGE(AN50,AM50)</f>
        <v>8060</v>
      </c>
      <c r="AO52" s="16">
        <f t="shared" ref="AO52" si="120">AVERAGE(AO50,AN50)</f>
        <v>8088</v>
      </c>
      <c r="AP52" s="16">
        <f t="shared" ref="AP52" si="121">AVERAGE(AP50,AO50)</f>
        <v>8116</v>
      </c>
      <c r="AQ52" s="6"/>
      <c r="AR52" s="16">
        <f>AVERAGE(AR50,AP50)</f>
        <v>8144</v>
      </c>
      <c r="AS52" s="16">
        <f>AVERAGE(AS50,AR50)</f>
        <v>8172</v>
      </c>
      <c r="AT52" s="16">
        <f t="shared" ref="AT52" si="122">AVERAGE(AT50,AS50)</f>
        <v>8200</v>
      </c>
      <c r="AU52" s="16">
        <f t="shared" ref="AU52" si="123">AVERAGE(AU50,AT50)</f>
        <v>8228</v>
      </c>
      <c r="AV52" s="6"/>
    </row>
    <row r="53" spans="2:48" outlineLevel="1" x14ac:dyDescent="0.3">
      <c r="B53" s="180" t="s">
        <v>202</v>
      </c>
      <c r="C53" s="201"/>
      <c r="D53" s="43">
        <f>+D54/D52</f>
        <v>6.5780391154288645E-2</v>
      </c>
      <c r="E53" s="43">
        <f>+E54/E52</f>
        <v>5.8549845122953414E-2</v>
      </c>
      <c r="F53" s="43">
        <f>+F54/F52</f>
        <v>6.2274923144488362E-2</v>
      </c>
      <c r="G53" s="114">
        <f t="shared" ref="G53:S53" si="124">+G54/G52</f>
        <v>6.016533034992852E-2</v>
      </c>
      <c r="H53" s="127"/>
      <c r="I53" s="114">
        <f t="shared" si="124"/>
        <v>6.6023593020398133E-2</v>
      </c>
      <c r="J53" s="114">
        <f t="shared" si="124"/>
        <v>5.6599402548314331E-2</v>
      </c>
      <c r="K53" s="114">
        <f t="shared" si="124"/>
        <v>2.8653120817617714E-2</v>
      </c>
      <c r="L53" s="114">
        <f t="shared" si="124"/>
        <v>4.4773739118878331E-2</v>
      </c>
      <c r="M53" s="6"/>
      <c r="N53" s="114">
        <f t="shared" si="124"/>
        <v>5.5089344804765052E-2</v>
      </c>
      <c r="O53" s="114">
        <f t="shared" si="124"/>
        <v>4.7554134748778572E-2</v>
      </c>
      <c r="P53" s="114">
        <f t="shared" si="124"/>
        <v>5.6394823954258204E-2</v>
      </c>
      <c r="Q53" s="114">
        <f t="shared" si="124"/>
        <v>6.6295811518324602E-2</v>
      </c>
      <c r="R53" s="6"/>
      <c r="S53" s="114">
        <f t="shared" si="124"/>
        <v>7.3948254855586606E-2</v>
      </c>
      <c r="T53" s="114">
        <f>+T54/T52</f>
        <v>7.2636103151862461E-2</v>
      </c>
      <c r="U53" s="114">
        <f>+U54/U52</f>
        <v>7.7898654451760668E-2</v>
      </c>
      <c r="V53" s="62">
        <f>Q53*1.1</f>
        <v>7.2925392670157074E-2</v>
      </c>
      <c r="W53" s="130"/>
      <c r="X53" s="62">
        <f>S53*1.1</f>
        <v>8.1343080341145277E-2</v>
      </c>
      <c r="Y53" s="62">
        <f>T53*1.1</f>
        <v>7.9899713467048716E-2</v>
      </c>
      <c r="Z53" s="62">
        <f>U53*1.05</f>
        <v>8.1793587174348703E-2</v>
      </c>
      <c r="AA53" s="62">
        <f>V53*1.05</f>
        <v>7.6571662303664925E-2</v>
      </c>
      <c r="AB53" s="378"/>
      <c r="AC53" s="62">
        <f>X53*1.05</f>
        <v>8.5410234358202539E-2</v>
      </c>
      <c r="AD53" s="62">
        <f>Y53*1.05</f>
        <v>8.3894699140401152E-2</v>
      </c>
      <c r="AE53" s="62">
        <f>Z53*1.05</f>
        <v>8.5883266533066147E-2</v>
      </c>
      <c r="AF53" s="62">
        <f>AA53*1.05</f>
        <v>8.0400245418848174E-2</v>
      </c>
      <c r="AG53" s="378"/>
      <c r="AH53" s="62">
        <f>AC53*1.07</f>
        <v>9.1388950763276716E-2</v>
      </c>
      <c r="AI53" s="62">
        <f>AD53*1.07</f>
        <v>8.9767328080229233E-2</v>
      </c>
      <c r="AJ53" s="62">
        <f>AE53*1.07</f>
        <v>9.1895095190380777E-2</v>
      </c>
      <c r="AK53" s="62">
        <f>AF53*1.07</f>
        <v>8.6028262598167551E-2</v>
      </c>
      <c r="AL53" s="379"/>
      <c r="AM53" s="219">
        <f>AH53*1.05</f>
        <v>9.5958398301440553E-2</v>
      </c>
      <c r="AN53" s="219">
        <f>AI53*1.05</f>
        <v>9.4255694484240704E-2</v>
      </c>
      <c r="AO53" s="219">
        <f>AJ53*1.05</f>
        <v>9.6489849949899814E-2</v>
      </c>
      <c r="AP53" s="219">
        <f>AK53*1.05</f>
        <v>9.0329675728075931E-2</v>
      </c>
      <c r="AQ53" s="97"/>
      <c r="AR53" s="219">
        <f>AM53*1.03</f>
        <v>9.8837150250483771E-2</v>
      </c>
      <c r="AS53" s="219">
        <f>AN53*1.03</f>
        <v>9.7083365318767934E-2</v>
      </c>
      <c r="AT53" s="219">
        <f>AO53*1.03</f>
        <v>9.938454544839681E-2</v>
      </c>
      <c r="AU53" s="219">
        <f>AP53*1.03</f>
        <v>9.3039565999918208E-2</v>
      </c>
      <c r="AV53" s="6"/>
    </row>
    <row r="54" spans="2:48" s="8" customFormat="1" outlineLevel="1" x14ac:dyDescent="0.3">
      <c r="B54" s="453" t="s">
        <v>178</v>
      </c>
      <c r="C54" s="454"/>
      <c r="D54" s="115">
        <v>514.6</v>
      </c>
      <c r="E54" s="115">
        <v>463.1</v>
      </c>
      <c r="F54" s="115">
        <v>496.3</v>
      </c>
      <c r="G54" s="115">
        <v>484</v>
      </c>
      <c r="H54" s="153"/>
      <c r="I54" s="115">
        <v>537.29999999999995</v>
      </c>
      <c r="J54" s="115">
        <v>464.2</v>
      </c>
      <c r="K54" s="115">
        <v>235.5</v>
      </c>
      <c r="L54" s="72">
        <v>336.9</v>
      </c>
      <c r="M54" s="73"/>
      <c r="N54" s="72">
        <v>416.2</v>
      </c>
      <c r="O54" s="72">
        <v>394.2</v>
      </c>
      <c r="P54" s="72">
        <v>468.5</v>
      </c>
      <c r="Q54" s="115">
        <v>506.5</v>
      </c>
      <c r="R54" s="73"/>
      <c r="S54" s="72">
        <v>515.9</v>
      </c>
      <c r="T54" s="72">
        <v>507</v>
      </c>
      <c r="U54" s="72">
        <v>544.20000000000005</v>
      </c>
      <c r="V54" s="72">
        <f t="shared" ref="V54" si="125">+V52*V53</f>
        <v>511.49870418848172</v>
      </c>
      <c r="W54" s="213">
        <f>SUM(S54:V54)</f>
        <v>2078.5987041884819</v>
      </c>
      <c r="X54" s="72">
        <f>+X52*X53</f>
        <v>574.4448333691679</v>
      </c>
      <c r="Y54" s="72">
        <f>+Y52*Y53</f>
        <v>569.68495702005737</v>
      </c>
      <c r="Z54" s="72">
        <f t="shared" ref="Z54:AA54" si="126">+Z52*Z53</f>
        <v>588.75024048096202</v>
      </c>
      <c r="AA54" s="72">
        <f t="shared" si="126"/>
        <v>556.40798412958122</v>
      </c>
      <c r="AB54" s="73">
        <f>SUM(X54:AA54)</f>
        <v>2289.2880149997686</v>
      </c>
      <c r="AC54" s="72">
        <f>+AC52*AC53</f>
        <v>627.08194065792304</v>
      </c>
      <c r="AD54" s="72">
        <f>+AD52*AD53</f>
        <v>622.83424641833813</v>
      </c>
      <c r="AE54" s="72">
        <f t="shared" ref="AE54:AF54" si="127">+AE52*AE53</f>
        <v>644.6397985971945</v>
      </c>
      <c r="AF54" s="72">
        <f t="shared" si="127"/>
        <v>610.11726236092932</v>
      </c>
      <c r="AG54" s="73">
        <f>SUM(AC54:AF54)</f>
        <v>2504.6732480343853</v>
      </c>
      <c r="AH54" s="72">
        <f>+AH52*AH53</f>
        <v>701.7300584358203</v>
      </c>
      <c r="AI54" s="72">
        <f>+AI52*AI53</f>
        <v>697.98585948782238</v>
      </c>
      <c r="AJ54" s="72">
        <f t="shared" ref="AJ54:AK54" si="128">+AJ52*AJ53</f>
        <v>723.44413688627264</v>
      </c>
      <c r="AK54" s="72">
        <f t="shared" si="128"/>
        <v>685.60223877609633</v>
      </c>
      <c r="AL54" s="73">
        <f>SUM(AH54:AK54)</f>
        <v>2808.7622935860118</v>
      </c>
      <c r="AM54" s="72">
        <f>+AM52*AM53</f>
        <v>770.73785515717054</v>
      </c>
      <c r="AN54" s="72">
        <f>+AN52*AN53</f>
        <v>759.7008975429801</v>
      </c>
      <c r="AO54" s="72">
        <f t="shared" ref="AO54:AP54" si="129">+AO52*AO53</f>
        <v>780.40990639478969</v>
      </c>
      <c r="AP54" s="72">
        <f t="shared" si="129"/>
        <v>733.11564820906426</v>
      </c>
      <c r="AQ54" s="73">
        <f>SUM(AM54:AP54)</f>
        <v>3043.9643073040047</v>
      </c>
      <c r="AR54" s="72">
        <f>+AR52*AR53</f>
        <v>804.92975163993981</v>
      </c>
      <c r="AS54" s="72">
        <f>+AS52*AS53</f>
        <v>793.36526138497152</v>
      </c>
      <c r="AT54" s="72">
        <f t="shared" ref="AT54:AU54" si="130">+AT52*AT53</f>
        <v>814.95327267685389</v>
      </c>
      <c r="AU54" s="72">
        <f t="shared" si="130"/>
        <v>765.52954904732701</v>
      </c>
      <c r="AV54" s="73">
        <f>SUM(AR54:AU54)</f>
        <v>3178.7778347490921</v>
      </c>
    </row>
    <row r="55" spans="2:48" s="8" customFormat="1" outlineLevel="1" x14ac:dyDescent="0.3">
      <c r="B55" s="445" t="s">
        <v>179</v>
      </c>
      <c r="C55" s="446"/>
      <c r="D55" s="103">
        <v>5.7</v>
      </c>
      <c r="E55" s="103">
        <v>1.4</v>
      </c>
      <c r="F55" s="103">
        <v>2.6</v>
      </c>
      <c r="G55" s="103">
        <v>3.2</v>
      </c>
      <c r="H55" s="154"/>
      <c r="I55" s="103">
        <v>2.6</v>
      </c>
      <c r="J55" s="103">
        <v>2.2000000000000002</v>
      </c>
      <c r="K55" s="103">
        <v>1.1000000000000001</v>
      </c>
      <c r="L55" s="50">
        <v>1.7</v>
      </c>
      <c r="M55" s="97"/>
      <c r="N55" s="50">
        <v>2.2000000000000002</v>
      </c>
      <c r="O55" s="50">
        <v>2</v>
      </c>
      <c r="P55" s="50">
        <v>2</v>
      </c>
      <c r="Q55" s="103">
        <v>2.2000000000000002</v>
      </c>
      <c r="R55" s="191"/>
      <c r="S55" s="50">
        <v>2.2999999999999998</v>
      </c>
      <c r="T55" s="50">
        <v>2.4</v>
      </c>
      <c r="U55" s="50">
        <v>1</v>
      </c>
      <c r="V55" s="50">
        <f t="shared" ref="V55" si="131">+Q55*(1+V56)</f>
        <v>1.9800000000000002</v>
      </c>
      <c r="W55" s="166">
        <f>SUM(S55:V55)</f>
        <v>7.68</v>
      </c>
      <c r="X55" s="50">
        <f>+S55*(1+X56)</f>
        <v>1.9549999999999998</v>
      </c>
      <c r="Y55" s="50">
        <f>+T55*(1+Y56)</f>
        <v>1.968</v>
      </c>
      <c r="Z55" s="50">
        <f>+U55*(1+Z56)</f>
        <v>1.95</v>
      </c>
      <c r="AA55" s="50">
        <f t="shared" ref="AA55" si="132">+V55*(1+AA56)</f>
        <v>1.9800000000000002</v>
      </c>
      <c r="AB55" s="191">
        <f>SUM(X55:AA55)</f>
        <v>7.8530000000000006</v>
      </c>
      <c r="AC55" s="50">
        <f>+X55*(1+AC56)</f>
        <v>1.9549999999999998</v>
      </c>
      <c r="AD55" s="50">
        <f>+Y55*(1+AD56)</f>
        <v>1.968</v>
      </c>
      <c r="AE55" s="50">
        <f>+Z55*(1+AE56)</f>
        <v>1.95</v>
      </c>
      <c r="AF55" s="50">
        <f t="shared" ref="AF55" si="133">+AA55*(1+AF56)</f>
        <v>1.9800000000000002</v>
      </c>
      <c r="AG55" s="191">
        <f>SUM(AC55:AF55)</f>
        <v>7.8530000000000006</v>
      </c>
      <c r="AH55" s="50">
        <f>+AC55*(1+AH56)</f>
        <v>1.9549999999999998</v>
      </c>
      <c r="AI55" s="50">
        <f>+AD55*(1+AI56)</f>
        <v>1.968</v>
      </c>
      <c r="AJ55" s="50">
        <f>+AE55*(1+AJ56)</f>
        <v>1.95</v>
      </c>
      <c r="AK55" s="50">
        <f t="shared" ref="AK55" si="134">+AF55*(1+AK56)</f>
        <v>1.9800000000000002</v>
      </c>
      <c r="AL55" s="191">
        <f>SUM(AH55:AK55)</f>
        <v>7.8530000000000006</v>
      </c>
      <c r="AM55" s="50">
        <f>+AH55*(1+AM56)</f>
        <v>1.9549999999999998</v>
      </c>
      <c r="AN55" s="50">
        <f>+AI55*(1+AN56)</f>
        <v>1.968</v>
      </c>
      <c r="AO55" s="50">
        <f>+AJ55*(1+AO56)</f>
        <v>1.95</v>
      </c>
      <c r="AP55" s="50">
        <f t="shared" ref="AP55" si="135">+AK55*(1+AP56)</f>
        <v>1.9800000000000002</v>
      </c>
      <c r="AQ55" s="191">
        <f>SUM(AM55:AP55)</f>
        <v>7.8530000000000006</v>
      </c>
      <c r="AR55" s="50">
        <f>+AM55*(1+AR56)</f>
        <v>1.9549999999999998</v>
      </c>
      <c r="AS55" s="50">
        <f>+AN55*(1+AS56)</f>
        <v>1.968</v>
      </c>
      <c r="AT55" s="50">
        <f>+AO55*(1+AT56)</f>
        <v>1.95</v>
      </c>
      <c r="AU55" s="50">
        <f t="shared" ref="AU55" si="136">+AP55*(1+AU56)</f>
        <v>1.9800000000000002</v>
      </c>
      <c r="AV55" s="191">
        <f>SUM(AR55:AU55)</f>
        <v>7.8530000000000006</v>
      </c>
    </row>
    <row r="56" spans="2:48" outlineLevel="1" x14ac:dyDescent="0.3">
      <c r="B56" s="69" t="s">
        <v>50</v>
      </c>
      <c r="C56" s="70"/>
      <c r="D56" s="120"/>
      <c r="E56" s="120"/>
      <c r="F56" s="120"/>
      <c r="G56" s="120"/>
      <c r="H56" s="155"/>
      <c r="I56" s="120">
        <f>I55/D55-1</f>
        <v>-0.54385964912280704</v>
      </c>
      <c r="J56" s="120">
        <f t="shared" ref="J56" si="137">J55/E55-1</f>
        <v>0.57142857142857162</v>
      </c>
      <c r="K56" s="120">
        <f>K55/F55-1</f>
        <v>-0.57692307692307687</v>
      </c>
      <c r="L56" s="120">
        <f>L55/G55-1</f>
        <v>-0.46875</v>
      </c>
      <c r="M56" s="58"/>
      <c r="N56" s="120">
        <f>N55/I55-1</f>
        <v>-0.15384615384615385</v>
      </c>
      <c r="O56" s="120">
        <f t="shared" ref="O56" si="138">O55/J55-1</f>
        <v>-9.0909090909090939E-2</v>
      </c>
      <c r="P56" s="120">
        <f>P55/K55-1</f>
        <v>0.81818181818181812</v>
      </c>
      <c r="Q56" s="120">
        <f>Q55/L55-1</f>
        <v>0.29411764705882359</v>
      </c>
      <c r="R56" s="58"/>
      <c r="S56" s="120">
        <f>S55/N55-1</f>
        <v>4.5454545454545192E-2</v>
      </c>
      <c r="T56" s="120">
        <f t="shared" ref="T56:U56" si="139">T55/O55-1</f>
        <v>0.19999999999999996</v>
      </c>
      <c r="U56" s="120">
        <f t="shared" si="139"/>
        <v>-0.5</v>
      </c>
      <c r="V56" s="71">
        <v>-0.1</v>
      </c>
      <c r="W56" s="155"/>
      <c r="X56" s="71">
        <v>-0.15</v>
      </c>
      <c r="Y56" s="71">
        <v>-0.18</v>
      </c>
      <c r="Z56" s="71">
        <v>0.95</v>
      </c>
      <c r="AA56" s="71">
        <v>0</v>
      </c>
      <c r="AB56" s="374"/>
      <c r="AC56" s="71">
        <v>0</v>
      </c>
      <c r="AD56" s="71">
        <v>0</v>
      </c>
      <c r="AE56" s="71">
        <v>0</v>
      </c>
      <c r="AF56" s="71">
        <v>0</v>
      </c>
      <c r="AG56" s="58"/>
      <c r="AH56" s="71">
        <v>0</v>
      </c>
      <c r="AI56" s="71">
        <v>0</v>
      </c>
      <c r="AJ56" s="71">
        <v>0</v>
      </c>
      <c r="AK56" s="71">
        <v>0</v>
      </c>
      <c r="AL56" s="58"/>
      <c r="AM56" s="71">
        <v>0</v>
      </c>
      <c r="AN56" s="71">
        <v>0</v>
      </c>
      <c r="AO56" s="71">
        <v>0</v>
      </c>
      <c r="AP56" s="71">
        <v>0</v>
      </c>
      <c r="AQ56" s="58"/>
      <c r="AR56" s="71">
        <v>0</v>
      </c>
      <c r="AS56" s="71">
        <v>0</v>
      </c>
      <c r="AT56" s="71">
        <v>0</v>
      </c>
      <c r="AU56" s="71">
        <v>0</v>
      </c>
      <c r="AV56" s="58"/>
    </row>
    <row r="57" spans="2:48" outlineLevel="1" x14ac:dyDescent="0.3">
      <c r="B57" s="180" t="s">
        <v>180</v>
      </c>
      <c r="C57" s="207"/>
      <c r="D57" s="101">
        <f t="shared" ref="D57:G58" si="140">+D50+D41</f>
        <v>17653</v>
      </c>
      <c r="E57" s="101">
        <f t="shared" si="140"/>
        <v>17719</v>
      </c>
      <c r="F57" s="101">
        <f t="shared" si="140"/>
        <v>17853</v>
      </c>
      <c r="G57" s="101">
        <f t="shared" si="140"/>
        <v>18067</v>
      </c>
      <c r="H57" s="122"/>
      <c r="I57" s="101">
        <f t="shared" ref="I57:L58" si="141">+I50+I41</f>
        <v>18203</v>
      </c>
      <c r="J57" s="101">
        <f t="shared" si="141"/>
        <v>18271</v>
      </c>
      <c r="K57" s="101">
        <f t="shared" si="141"/>
        <v>18235</v>
      </c>
      <c r="L57" s="16">
        <f t="shared" si="141"/>
        <v>16940</v>
      </c>
      <c r="M57" s="6"/>
      <c r="N57" s="16">
        <f t="shared" ref="N57:Q58" si="142">+N50+N41</f>
        <v>18308</v>
      </c>
      <c r="O57" s="16">
        <f t="shared" si="142"/>
        <v>18120</v>
      </c>
      <c r="P57" s="16">
        <f t="shared" si="142"/>
        <v>18175</v>
      </c>
      <c r="Q57" s="101">
        <f t="shared" si="142"/>
        <v>16826</v>
      </c>
      <c r="R57" s="6"/>
      <c r="S57" s="16">
        <f t="shared" ref="S57:V58" si="143">+S50+S41</f>
        <v>16888</v>
      </c>
      <c r="T57" s="16">
        <f t="shared" si="143"/>
        <v>16926</v>
      </c>
      <c r="U57" s="16">
        <f t="shared" si="143"/>
        <v>17050</v>
      </c>
      <c r="V57" s="16">
        <f t="shared" si="143"/>
        <v>17174</v>
      </c>
      <c r="W57" s="254">
        <f>W58/Q57</f>
        <v>2.0682277427790323E-2</v>
      </c>
      <c r="X57" s="16">
        <f t="shared" ref="X57:AA58" si="144">+X50+X41</f>
        <v>17302.5</v>
      </c>
      <c r="Y57" s="16">
        <f t="shared" si="144"/>
        <v>17431</v>
      </c>
      <c r="Z57" s="16">
        <f t="shared" si="144"/>
        <v>17559.5</v>
      </c>
      <c r="AA57" s="16">
        <f t="shared" si="144"/>
        <v>17689</v>
      </c>
      <c r="AB57" s="254">
        <f>AB58/V57</f>
        <v>2.9987189938278792E-2</v>
      </c>
      <c r="AC57" s="16">
        <f t="shared" ref="AC57:AF57" si="145">+AC50+AC41</f>
        <v>17843</v>
      </c>
      <c r="AD57" s="16">
        <f t="shared" si="145"/>
        <v>17997</v>
      </c>
      <c r="AE57" s="16">
        <f t="shared" si="145"/>
        <v>18152</v>
      </c>
      <c r="AF57" s="16">
        <f t="shared" si="145"/>
        <v>18308</v>
      </c>
      <c r="AG57" s="254">
        <f>AG58/AA57</f>
        <v>3.499349878455537E-2</v>
      </c>
      <c r="AH57" s="16">
        <f t="shared" ref="AH57:AK57" si="146">+AH50+AH41</f>
        <v>18491</v>
      </c>
      <c r="AI57" s="16">
        <f t="shared" si="146"/>
        <v>18674</v>
      </c>
      <c r="AJ57" s="16">
        <f t="shared" si="146"/>
        <v>18857</v>
      </c>
      <c r="AK57" s="16">
        <f t="shared" si="146"/>
        <v>19040</v>
      </c>
      <c r="AL57" s="254">
        <f>AL58/AF57</f>
        <v>3.9982521302162989E-2</v>
      </c>
      <c r="AM57" s="16">
        <f t="shared" ref="AM57:AP57" si="147">+AM50+AM41</f>
        <v>19164</v>
      </c>
      <c r="AN57" s="16">
        <f t="shared" si="147"/>
        <v>19288</v>
      </c>
      <c r="AO57" s="16">
        <f t="shared" si="147"/>
        <v>19412</v>
      </c>
      <c r="AP57" s="16">
        <f t="shared" si="147"/>
        <v>19536</v>
      </c>
      <c r="AQ57" s="254">
        <f>AQ58/AK57</f>
        <v>2.6050420168067228E-2</v>
      </c>
      <c r="AR57" s="16">
        <f t="shared" ref="AR57:AU57" si="148">+AR50+AR41</f>
        <v>19660</v>
      </c>
      <c r="AS57" s="16">
        <f t="shared" si="148"/>
        <v>19784</v>
      </c>
      <c r="AT57" s="16">
        <f t="shared" si="148"/>
        <v>19908</v>
      </c>
      <c r="AU57" s="16">
        <f t="shared" si="148"/>
        <v>20032</v>
      </c>
      <c r="AV57" s="254">
        <f>AV58/AP57</f>
        <v>2.5389025389025387E-2</v>
      </c>
    </row>
    <row r="58" spans="2:48" outlineLevel="1" x14ac:dyDescent="0.3">
      <c r="B58" s="180" t="s">
        <v>181</v>
      </c>
      <c r="C58" s="207"/>
      <c r="D58" s="101">
        <f t="shared" si="140"/>
        <v>193</v>
      </c>
      <c r="E58" s="101">
        <f t="shared" si="140"/>
        <v>66</v>
      </c>
      <c r="F58" s="101">
        <f t="shared" si="140"/>
        <v>134</v>
      </c>
      <c r="G58" s="101">
        <f t="shared" si="140"/>
        <v>214</v>
      </c>
      <c r="H58" s="122">
        <f>+H51+H42</f>
        <v>607</v>
      </c>
      <c r="I58" s="101">
        <f t="shared" si="141"/>
        <v>136</v>
      </c>
      <c r="J58" s="101">
        <f t="shared" si="141"/>
        <v>68</v>
      </c>
      <c r="K58" s="101">
        <f t="shared" si="141"/>
        <v>-36</v>
      </c>
      <c r="L58" s="16">
        <f t="shared" si="141"/>
        <v>124</v>
      </c>
      <c r="M58" s="122"/>
      <c r="N58" s="16">
        <f t="shared" si="142"/>
        <v>-46</v>
      </c>
      <c r="O58" s="16">
        <f t="shared" si="142"/>
        <v>-188</v>
      </c>
      <c r="P58" s="16">
        <f t="shared" si="142"/>
        <v>55</v>
      </c>
      <c r="Q58" s="101">
        <f t="shared" si="142"/>
        <v>74</v>
      </c>
      <c r="R58" s="122"/>
      <c r="S58" s="16">
        <f t="shared" si="143"/>
        <v>62</v>
      </c>
      <c r="T58" s="16">
        <f t="shared" si="143"/>
        <v>38</v>
      </c>
      <c r="U58" s="16">
        <f t="shared" si="143"/>
        <v>124</v>
      </c>
      <c r="V58" s="16">
        <f t="shared" si="143"/>
        <v>124</v>
      </c>
      <c r="W58" s="122">
        <f>+W51+W42</f>
        <v>348</v>
      </c>
      <c r="X58" s="16">
        <f t="shared" si="144"/>
        <v>128.5</v>
      </c>
      <c r="Y58" s="16">
        <f t="shared" si="144"/>
        <v>128.5</v>
      </c>
      <c r="Z58" s="16">
        <f t="shared" si="144"/>
        <v>128.5</v>
      </c>
      <c r="AA58" s="16">
        <f t="shared" si="144"/>
        <v>129.5</v>
      </c>
      <c r="AB58" s="122">
        <f>+AB51+AB42</f>
        <v>515</v>
      </c>
      <c r="AC58" s="16">
        <f t="shared" ref="AC58:AF58" si="149">+AC51+AC42</f>
        <v>154</v>
      </c>
      <c r="AD58" s="16">
        <f t="shared" si="149"/>
        <v>154</v>
      </c>
      <c r="AE58" s="16">
        <f t="shared" si="149"/>
        <v>155</v>
      </c>
      <c r="AF58" s="16">
        <f t="shared" si="149"/>
        <v>156</v>
      </c>
      <c r="AG58" s="122">
        <f>+AG51+AG42</f>
        <v>619</v>
      </c>
      <c r="AH58" s="16">
        <f t="shared" ref="AH58:AK58" si="150">+AH51+AH42</f>
        <v>183</v>
      </c>
      <c r="AI58" s="16">
        <f t="shared" si="150"/>
        <v>183</v>
      </c>
      <c r="AJ58" s="16">
        <f t="shared" si="150"/>
        <v>183</v>
      </c>
      <c r="AK58" s="16">
        <f t="shared" si="150"/>
        <v>183</v>
      </c>
      <c r="AL58" s="122">
        <f>+AL51+AL42</f>
        <v>732</v>
      </c>
      <c r="AM58" s="16">
        <f t="shared" ref="AM58:AP58" si="151">+AM51+AM42</f>
        <v>124</v>
      </c>
      <c r="AN58" s="16">
        <f t="shared" si="151"/>
        <v>124</v>
      </c>
      <c r="AO58" s="16">
        <f t="shared" si="151"/>
        <v>124</v>
      </c>
      <c r="AP58" s="16">
        <f t="shared" si="151"/>
        <v>124</v>
      </c>
      <c r="AQ58" s="122">
        <f>+AQ51+AQ42</f>
        <v>496</v>
      </c>
      <c r="AR58" s="16">
        <f t="shared" ref="AR58:AU58" si="152">+AR51+AR42</f>
        <v>124</v>
      </c>
      <c r="AS58" s="16">
        <f t="shared" si="152"/>
        <v>124</v>
      </c>
      <c r="AT58" s="16">
        <f t="shared" si="152"/>
        <v>124</v>
      </c>
      <c r="AU58" s="16">
        <f t="shared" si="152"/>
        <v>124</v>
      </c>
      <c r="AV58" s="122">
        <f>+AV51+AV42</f>
        <v>496</v>
      </c>
    </row>
    <row r="59" spans="2:48" outlineLevel="1" x14ac:dyDescent="0.3">
      <c r="B59" s="449" t="s">
        <v>182</v>
      </c>
      <c r="C59" s="450"/>
      <c r="D59" s="115">
        <f>+D55+D54+D45</f>
        <v>4612.5</v>
      </c>
      <c r="E59" s="115">
        <f>+E55+E54+E45</f>
        <v>4314.1000000000004</v>
      </c>
      <c r="F59" s="115">
        <f>+F55+F54+F45</f>
        <v>4681.0999999999995</v>
      </c>
      <c r="G59" s="115">
        <f>+G55+G54+G45</f>
        <v>4651.3999999999996</v>
      </c>
      <c r="H59" s="132">
        <f>SUM(D59:G59)</f>
        <v>18259.099999999999</v>
      </c>
      <c r="I59" s="115">
        <f>+I55+I54+I45</f>
        <v>5010.8999999999996</v>
      </c>
      <c r="J59" s="115">
        <f>+J55+J54+J45</f>
        <v>4330</v>
      </c>
      <c r="K59" s="115">
        <f>+K55+K54+K45</f>
        <v>2805.5</v>
      </c>
      <c r="L59" s="72">
        <f>+L55+L54+L45</f>
        <v>4213.9000000000005</v>
      </c>
      <c r="M59" s="97"/>
      <c r="N59" s="72">
        <f>+N55+N54+N45</f>
        <v>4703.2</v>
      </c>
      <c r="O59" s="72">
        <f>+O55+O54+O45</f>
        <v>4664.5999999999995</v>
      </c>
      <c r="P59" s="72">
        <f>+P55+P54+P45</f>
        <v>5400.3</v>
      </c>
      <c r="Q59" s="115">
        <f>+Q55+Q54+Q45</f>
        <v>5763</v>
      </c>
      <c r="R59" s="97"/>
      <c r="S59" s="72">
        <f>+S55+S54+S45</f>
        <v>5732.3</v>
      </c>
      <c r="T59" s="72">
        <f>+T55+T54+T45</f>
        <v>5445.7</v>
      </c>
      <c r="U59" s="72">
        <f>+U55+U54+U45</f>
        <v>6058.4</v>
      </c>
      <c r="V59" s="72">
        <f>+V55+V54+V45</f>
        <v>5948.1423230719047</v>
      </c>
      <c r="W59" s="97">
        <f>SUM(S59:V59)</f>
        <v>23184.542323071906</v>
      </c>
      <c r="X59" s="72">
        <f>+X55+X54+X45</f>
        <v>6322.4839469008721</v>
      </c>
      <c r="Y59" s="72">
        <f>+Y55+Y54+Y45</f>
        <v>6018.3020813023186</v>
      </c>
      <c r="Z59" s="72">
        <f>+Z55+Z54+Z45</f>
        <v>6550.4421555979388</v>
      </c>
      <c r="AA59" s="72">
        <f>+AA55+AA54+AA45</f>
        <v>6411.5699462423026</v>
      </c>
      <c r="AB59" s="97">
        <f>SUM(X59:AA59)</f>
        <v>25302.798130043433</v>
      </c>
      <c r="AC59" s="72">
        <f>+AC55+AC54+AC45</f>
        <v>6809.3135493720583</v>
      </c>
      <c r="AD59" s="72">
        <f>+AD55+AD54+AD45</f>
        <v>6488.619441220394</v>
      </c>
      <c r="AE59" s="72">
        <f>+AE55+AE54+AE45</f>
        <v>7069.1598101448853</v>
      </c>
      <c r="AF59" s="72">
        <f>+AF55+AF54+AF45</f>
        <v>6926.3033054024827</v>
      </c>
      <c r="AG59" s="97">
        <f>SUM(AC59:AF59)</f>
        <v>27293.396106139819</v>
      </c>
      <c r="AH59" s="72">
        <f>+AH55+AH54+AH45</f>
        <v>7504.9952760649394</v>
      </c>
      <c r="AI59" s="72">
        <f>+AI55+AI54+AI45</f>
        <v>7160.1474088324894</v>
      </c>
      <c r="AJ59" s="72">
        <f>+AJ55+AJ54+AJ45</f>
        <v>7808.549645737502</v>
      </c>
      <c r="AK59" s="72">
        <f>+AK55+AK54+AK45</f>
        <v>7658.0586675513578</v>
      </c>
      <c r="AL59" s="97">
        <f>SUM(AH59:AK59)</f>
        <v>30131.75099818629</v>
      </c>
      <c r="AM59" s="72">
        <f>+AM55+AM54+AM45</f>
        <v>8146.5413128208293</v>
      </c>
      <c r="AN59" s="72">
        <f>+AN55+AN54+AN45</f>
        <v>7770.2047752686849</v>
      </c>
      <c r="AO59" s="72">
        <f>+AO55+AO54+AO45</f>
        <v>8471.6119221587378</v>
      </c>
      <c r="AP59" s="72">
        <f>+AP55+AP54+AP45</f>
        <v>8306.7510669112144</v>
      </c>
      <c r="AQ59" s="97">
        <f>SUM(AM59:AP59)</f>
        <v>32695.109077159468</v>
      </c>
      <c r="AR59" s="72">
        <f>+AR55+AR54+AR45</f>
        <v>8665.4088745940426</v>
      </c>
      <c r="AS59" s="72">
        <f>+AS55+AS54+AS45</f>
        <v>8262.3802853294328</v>
      </c>
      <c r="AT59" s="72">
        <f>+AT55+AT54+AT45</f>
        <v>9006.8783965318125</v>
      </c>
      <c r="AU59" s="72">
        <f>+AU55+AU54+AU45</f>
        <v>8829.9826309449036</v>
      </c>
      <c r="AV59" s="97">
        <f>SUM(AR59:AU59)</f>
        <v>34764.650187400191</v>
      </c>
    </row>
    <row r="60" spans="2:48" outlineLevel="1" x14ac:dyDescent="0.3">
      <c r="B60" s="443" t="s">
        <v>100</v>
      </c>
      <c r="C60" s="444"/>
      <c r="D60" s="105">
        <v>1351.3</v>
      </c>
      <c r="E60" s="105">
        <v>1220.5</v>
      </c>
      <c r="F60" s="105">
        <v>1324</v>
      </c>
      <c r="G60" s="105">
        <v>1278.9000000000001</v>
      </c>
      <c r="H60" s="129"/>
      <c r="I60" s="105">
        <v>1388.4</v>
      </c>
      <c r="J60" s="105">
        <v>1248.2</v>
      </c>
      <c r="K60" s="105">
        <v>805.6</v>
      </c>
      <c r="L60" s="48">
        <v>1158.3</v>
      </c>
      <c r="M60" s="76"/>
      <c r="N60" s="48">
        <v>1276.2</v>
      </c>
      <c r="O60" s="48">
        <v>1227.5999999999999</v>
      </c>
      <c r="P60" s="48">
        <v>1416.2</v>
      </c>
      <c r="Q60" s="105">
        <v>1580.3</v>
      </c>
      <c r="R60" s="76"/>
      <c r="S60" s="48">
        <v>1629.4</v>
      </c>
      <c r="T60" s="48">
        <v>1564</v>
      </c>
      <c r="U60" s="48">
        <v>1713.2</v>
      </c>
      <c r="V60" s="48">
        <f t="shared" ref="V60:AA60" si="153">V61*V59</f>
        <v>1705.4205475878575</v>
      </c>
      <c r="W60" s="76">
        <f>SUM(S60:V60)</f>
        <v>6612.0205475878574</v>
      </c>
      <c r="X60" s="48">
        <f t="shared" si="153"/>
        <v>1828.7715605820317</v>
      </c>
      <c r="Y60" s="48">
        <f t="shared" si="153"/>
        <v>1743.4965430095665</v>
      </c>
      <c r="Z60" s="48">
        <f t="shared" si="153"/>
        <v>1868.7162448598765</v>
      </c>
      <c r="AA60" s="48">
        <f t="shared" si="153"/>
        <v>1774.1764150697893</v>
      </c>
      <c r="AB60" s="76">
        <f>SUM(X60:AA60)</f>
        <v>7215.160763521264</v>
      </c>
      <c r="AC60" s="48">
        <f t="shared" ref="AC60:AF60" si="154">AC61*AC59</f>
        <v>1901.493354683374</v>
      </c>
      <c r="AD60" s="48">
        <f t="shared" si="154"/>
        <v>1873.2584274574945</v>
      </c>
      <c r="AE60" s="48">
        <f t="shared" si="154"/>
        <v>2009.627341118264</v>
      </c>
      <c r="AF60" s="48">
        <f t="shared" si="154"/>
        <v>1985.8737962676512</v>
      </c>
      <c r="AG60" s="76">
        <f>SUM(AC60:AF60)</f>
        <v>7770.2529195267834</v>
      </c>
      <c r="AH60" s="48">
        <f t="shared" ref="AH60:AK60" si="155">AH61*AH59</f>
        <v>2088.2567200415697</v>
      </c>
      <c r="AI60" s="48">
        <f t="shared" si="155"/>
        <v>2059.9677827985665</v>
      </c>
      <c r="AJ60" s="48">
        <f t="shared" si="155"/>
        <v>2212.0132232378774</v>
      </c>
      <c r="AK60" s="48">
        <f t="shared" si="155"/>
        <v>2188.0208435700229</v>
      </c>
      <c r="AL60" s="76">
        <f>SUM(AH60:AK60)</f>
        <v>8548.2585696480364</v>
      </c>
      <c r="AM60" s="48">
        <f t="shared" ref="AM60:AP60" si="156">AM61*AM59</f>
        <v>2266.7662024851043</v>
      </c>
      <c r="AN60" s="48">
        <f t="shared" si="156"/>
        <v>2235.4807225136465</v>
      </c>
      <c r="AO60" s="48">
        <f t="shared" si="156"/>
        <v>2399.8461230484872</v>
      </c>
      <c r="AP60" s="48">
        <f t="shared" si="156"/>
        <v>2373.3618748262707</v>
      </c>
      <c r="AQ60" s="76">
        <f>SUM(AM60:AP60)</f>
        <v>9275.4549228735086</v>
      </c>
      <c r="AR60" s="48">
        <f t="shared" ref="AR60:AU60" si="157">AR61*AR59</f>
        <v>2411.1405335576505</v>
      </c>
      <c r="AS60" s="48">
        <f t="shared" si="157"/>
        <v>2377.0791612492685</v>
      </c>
      <c r="AT60" s="48">
        <f t="shared" si="157"/>
        <v>2551.4769089160632</v>
      </c>
      <c r="AU60" s="48">
        <f t="shared" si="157"/>
        <v>2522.8568862670118</v>
      </c>
      <c r="AV60" s="76">
        <f>SUM(AR60:AU60)</f>
        <v>9862.553489989994</v>
      </c>
    </row>
    <row r="61" spans="2:48" s="184" customFormat="1" outlineLevel="1" x14ac:dyDescent="0.3">
      <c r="B61" s="181" t="s">
        <v>151</v>
      </c>
      <c r="C61" s="185"/>
      <c r="D61" s="167">
        <f>D60/D59</f>
        <v>0.29296476964769647</v>
      </c>
      <c r="E61" s="167">
        <f t="shared" ref="E61:U61" si="158">E60/E59</f>
        <v>0.28290952921814511</v>
      </c>
      <c r="F61" s="167">
        <f t="shared" si="158"/>
        <v>0.28283950353549381</v>
      </c>
      <c r="G61" s="167">
        <f t="shared" si="158"/>
        <v>0.27494947757664362</v>
      </c>
      <c r="H61" s="186"/>
      <c r="I61" s="167">
        <f t="shared" si="158"/>
        <v>0.27707597437586068</v>
      </c>
      <c r="J61" s="167">
        <f t="shared" si="158"/>
        <v>0.28826789838337186</v>
      </c>
      <c r="K61" s="167">
        <f t="shared" si="158"/>
        <v>0.28715024059882377</v>
      </c>
      <c r="L61" s="187">
        <f t="shared" si="158"/>
        <v>0.27487600560051256</v>
      </c>
      <c r="M61" s="188"/>
      <c r="N61" s="187">
        <f t="shared" si="158"/>
        <v>0.27134716788569485</v>
      </c>
      <c r="O61" s="167">
        <f t="shared" si="158"/>
        <v>0.26317369120610556</v>
      </c>
      <c r="P61" s="167">
        <f t="shared" si="158"/>
        <v>0.26224469010980872</v>
      </c>
      <c r="Q61" s="167">
        <f t="shared" si="158"/>
        <v>0.27421481867083114</v>
      </c>
      <c r="R61" s="188"/>
      <c r="S61" s="187">
        <f t="shared" si="158"/>
        <v>0.28424890532595992</v>
      </c>
      <c r="T61" s="167">
        <f t="shared" si="158"/>
        <v>0.28719907449914611</v>
      </c>
      <c r="U61" s="167">
        <f t="shared" si="158"/>
        <v>0.28278093225934242</v>
      </c>
      <c r="V61" s="189">
        <f>Q61+1.25%</f>
        <v>0.28671481867083115</v>
      </c>
      <c r="W61" s="188">
        <f t="shared" ref="W61" si="159">W60/W59</f>
        <v>0.2851909024319173</v>
      </c>
      <c r="X61" s="189">
        <f>S61+0.5%</f>
        <v>0.28924890532595993</v>
      </c>
      <c r="Y61" s="189">
        <f>T61+0.25%</f>
        <v>0.28969907449914611</v>
      </c>
      <c r="Z61" s="189">
        <f>U61+0.25%</f>
        <v>0.28528093225934242</v>
      </c>
      <c r="AA61" s="189">
        <f>V61-1%</f>
        <v>0.27671481867083114</v>
      </c>
      <c r="AB61" s="188">
        <f t="shared" ref="AB61" si="160">AB60/AB59</f>
        <v>0.28515268257838638</v>
      </c>
      <c r="AC61" s="189">
        <f>X61-1%</f>
        <v>0.27924890532595992</v>
      </c>
      <c r="AD61" s="189">
        <f>Y61-0.1%</f>
        <v>0.28869907449914611</v>
      </c>
      <c r="AE61" s="189">
        <f>Z61-0.1%</f>
        <v>0.28428093225934242</v>
      </c>
      <c r="AF61" s="189">
        <f>AA61+1%</f>
        <v>0.28671481867083115</v>
      </c>
      <c r="AG61" s="188">
        <f t="shared" ref="AG61" si="161">AG60/AG59</f>
        <v>0.28469351667742138</v>
      </c>
      <c r="AH61" s="189">
        <f t="shared" ref="AH61:AK61" si="162">AC61-0.1%</f>
        <v>0.27824890532595992</v>
      </c>
      <c r="AI61" s="189">
        <f t="shared" si="162"/>
        <v>0.28769907449914611</v>
      </c>
      <c r="AJ61" s="189">
        <f t="shared" si="162"/>
        <v>0.28328093225934242</v>
      </c>
      <c r="AK61" s="189">
        <f t="shared" si="162"/>
        <v>0.28571481867083115</v>
      </c>
      <c r="AL61" s="188">
        <f t="shared" ref="AL61" si="163">AL60/AL59</f>
        <v>0.28369604442047125</v>
      </c>
      <c r="AM61" s="189">
        <f>AH61</f>
        <v>0.27824890532595992</v>
      </c>
      <c r="AN61" s="189">
        <f t="shared" ref="AN61" si="164">AI61</f>
        <v>0.28769907449914611</v>
      </c>
      <c r="AO61" s="189">
        <f t="shared" ref="AO61" si="165">AJ61</f>
        <v>0.28328093225934242</v>
      </c>
      <c r="AP61" s="189">
        <f t="shared" ref="AP61" si="166">AK61</f>
        <v>0.28571481867083115</v>
      </c>
      <c r="AQ61" s="188">
        <f t="shared" ref="AQ61" si="167">AQ60/AQ59</f>
        <v>0.28369548793930355</v>
      </c>
      <c r="AR61" s="189">
        <f>AM61</f>
        <v>0.27824890532595992</v>
      </c>
      <c r="AS61" s="189">
        <f t="shared" ref="AS61" si="168">AN61</f>
        <v>0.28769907449914611</v>
      </c>
      <c r="AT61" s="189">
        <f t="shared" ref="AT61" si="169">AO61</f>
        <v>0.28328093225934242</v>
      </c>
      <c r="AU61" s="189">
        <f t="shared" ref="AU61" si="170">AP61</f>
        <v>0.28571481867083115</v>
      </c>
      <c r="AV61" s="188">
        <f t="shared" ref="AV61" si="171">AV60/AV59</f>
        <v>0.28369488652483249</v>
      </c>
    </row>
    <row r="62" spans="2:48" outlineLevel="1" x14ac:dyDescent="0.3">
      <c r="B62" s="180" t="s">
        <v>32</v>
      </c>
      <c r="C62" s="18"/>
      <c r="D62" s="48">
        <v>1983.1</v>
      </c>
      <c r="E62" s="48">
        <v>1935.7</v>
      </c>
      <c r="F62" s="48">
        <v>2034</v>
      </c>
      <c r="G62" s="48">
        <v>2112.1</v>
      </c>
      <c r="H62" s="49"/>
      <c r="I62" s="48">
        <v>2214.4</v>
      </c>
      <c r="J62" s="48">
        <v>2158.6</v>
      </c>
      <c r="K62" s="48">
        <v>2054.4</v>
      </c>
      <c r="L62" s="48">
        <v>2060.6999999999998</v>
      </c>
      <c r="M62" s="165"/>
      <c r="N62" s="48">
        <v>2238.8000000000002</v>
      </c>
      <c r="O62" s="48">
        <v>2203.1</v>
      </c>
      <c r="P62" s="48">
        <v>2346.8000000000002</v>
      </c>
      <c r="Q62" s="105">
        <v>2570.8000000000002</v>
      </c>
      <c r="R62" s="49"/>
      <c r="S62" s="48">
        <v>2702.4</v>
      </c>
      <c r="T62" s="48">
        <v>2625.4</v>
      </c>
      <c r="U62" s="48">
        <v>2670</v>
      </c>
      <c r="V62" s="48">
        <f>V63*V45</f>
        <v>2726.9807861340696</v>
      </c>
      <c r="W62" s="49">
        <f>SUM(S62:V62)</f>
        <v>10724.78078613407</v>
      </c>
      <c r="X62" s="48">
        <f>X63*X45</f>
        <v>3006.850845647361</v>
      </c>
      <c r="Y62" s="48">
        <f>Y63*Y45</f>
        <v>2910.4487867575176</v>
      </c>
      <c r="Z62" s="48">
        <f>Z63*Z45</f>
        <v>2945.8542052939415</v>
      </c>
      <c r="AA62" s="48">
        <f>AA63*AA45</f>
        <v>2936.9830163853408</v>
      </c>
      <c r="AB62" s="49">
        <f>SUM(X62:AA62)</f>
        <v>11800.136854084159</v>
      </c>
      <c r="AC62" s="48">
        <f>AC63*AC45</f>
        <v>3172.2553472433583</v>
      </c>
      <c r="AD62" s="48">
        <f>AD63*AD45</f>
        <v>3127.5011657438504</v>
      </c>
      <c r="AE62" s="48">
        <f>AE63*AE45</f>
        <v>3168.2039736852134</v>
      </c>
      <c r="AF62" s="48">
        <f>AF63*AF45</f>
        <v>3231.4556427535872</v>
      </c>
      <c r="AG62" s="49">
        <f>SUM(AC62:AF62)</f>
        <v>12699.416129426008</v>
      </c>
      <c r="AH62" s="48">
        <f>AH63*AH45</f>
        <v>3484.222485661282</v>
      </c>
      <c r="AI62" s="48">
        <f>AI63*AI45</f>
        <v>3439.12178578253</v>
      </c>
      <c r="AJ62" s="48">
        <f>AJ63*AJ45</f>
        <v>3486.9825205405159</v>
      </c>
      <c r="AK62" s="48">
        <f>AK63*AK45</f>
        <v>3560.3482386881774</v>
      </c>
      <c r="AL62" s="49">
        <f>SUM(AH62:AK62)</f>
        <v>13970.675030672504</v>
      </c>
      <c r="AM62" s="48">
        <f>AM63*AM45</f>
        <v>3777.5263559447735</v>
      </c>
      <c r="AN62" s="48">
        <f>AN63*AN45</f>
        <v>3731.0350285046843</v>
      </c>
      <c r="AO62" s="48">
        <f>AO63*AO45</f>
        <v>3785.3591300508269</v>
      </c>
      <c r="AP62" s="48">
        <f>AP63*AP45</f>
        <v>3867.4157081493158</v>
      </c>
      <c r="AQ62" s="49">
        <f>SUM(AM62:AP62)</f>
        <v>15161.336222649601</v>
      </c>
      <c r="AR62" s="48">
        <f>AR63*AR45</f>
        <v>4025.8193755574684</v>
      </c>
      <c r="AS62" s="48">
        <f>AS63*AS45</f>
        <v>3975.1261164791313</v>
      </c>
      <c r="AT62" s="48">
        <f>AT63*AT45</f>
        <v>4031.8612325900453</v>
      </c>
      <c r="AU62" s="48">
        <f>AU63*AU45</f>
        <v>4118.1133212222176</v>
      </c>
      <c r="AV62" s="49">
        <f>SUM(AR62:AU62)</f>
        <v>16150.920045848863</v>
      </c>
    </row>
    <row r="63" spans="2:48" s="184" customFormat="1" outlineLevel="1" x14ac:dyDescent="0.3">
      <c r="B63" s="181" t="s">
        <v>150</v>
      </c>
      <c r="C63" s="190"/>
      <c r="D63" s="187">
        <f>D62/D45</f>
        <v>0.48460485802257952</v>
      </c>
      <c r="E63" s="187">
        <f>E62/E45</f>
        <v>0.50283146300914383</v>
      </c>
      <c r="F63" s="187">
        <f>F62/F45</f>
        <v>0.48634689876141746</v>
      </c>
      <c r="G63" s="187">
        <f>G62/G45</f>
        <v>0.5072042649248355</v>
      </c>
      <c r="H63" s="188"/>
      <c r="I63" s="187">
        <f>I62/I45</f>
        <v>0.49528069783046302</v>
      </c>
      <c r="J63" s="187">
        <f>J62/J45</f>
        <v>0.55870172895744896</v>
      </c>
      <c r="K63" s="187">
        <f>K62/K45</f>
        <v>0.79971972439565575</v>
      </c>
      <c r="L63" s="187">
        <f>L62/L45</f>
        <v>0.53175238046086748</v>
      </c>
      <c r="M63" s="188"/>
      <c r="N63" s="187">
        <f>N62/N45</f>
        <v>0.52249813293502612</v>
      </c>
      <c r="O63" s="187">
        <f>O62/O45</f>
        <v>0.51614187986130633</v>
      </c>
      <c r="P63" s="187">
        <f>P62/P45</f>
        <v>0.47604365288652684</v>
      </c>
      <c r="Q63" s="167">
        <f>Q62/Q45</f>
        <v>0.48927545058333177</v>
      </c>
      <c r="R63" s="188"/>
      <c r="S63" s="187">
        <f>S62/S45</f>
        <v>0.51828695268598601</v>
      </c>
      <c r="T63" s="187">
        <f>T62/T45</f>
        <v>0.53185584344549564</v>
      </c>
      <c r="U63" s="187">
        <f>U62/U45</f>
        <v>0.48429224406878041</v>
      </c>
      <c r="V63" s="189">
        <f>Q63+1.25%</f>
        <v>0.50177545058333173</v>
      </c>
      <c r="W63" s="188">
        <f>W62/W45</f>
        <v>0.50832528116366638</v>
      </c>
      <c r="X63" s="189">
        <f>S63+0.5%</f>
        <v>0.52328695268598602</v>
      </c>
      <c r="Y63" s="189">
        <f>T63+0.25%</f>
        <v>0.53435584344549558</v>
      </c>
      <c r="Z63" s="189">
        <f>U63+1%</f>
        <v>0.49429224406878042</v>
      </c>
      <c r="AA63" s="189">
        <f>V63</f>
        <v>0.50177545058333173</v>
      </c>
      <c r="AB63" s="188">
        <f>AB62/AB45</f>
        <v>0.51292326904967711</v>
      </c>
      <c r="AC63" s="189">
        <f>X63-1%</f>
        <v>0.51328695268598601</v>
      </c>
      <c r="AD63" s="189">
        <f>Y63-0.1%</f>
        <v>0.53335584344549558</v>
      </c>
      <c r="AE63" s="189">
        <f>Z63-0.1%</f>
        <v>0.49329224406878042</v>
      </c>
      <c r="AF63" s="189">
        <f>AA63+1%</f>
        <v>0.51177545058333174</v>
      </c>
      <c r="AG63" s="188">
        <f>AG62/AG45</f>
        <v>0.5124685373089205</v>
      </c>
      <c r="AH63" s="189">
        <f t="shared" ref="AH63" si="172">AC63-0.1%</f>
        <v>0.51228695268598601</v>
      </c>
      <c r="AI63" s="189">
        <f t="shared" ref="AI63" si="173">AD63-0.1%</f>
        <v>0.53235584344549558</v>
      </c>
      <c r="AJ63" s="189">
        <f t="shared" ref="AJ63" si="174">AE63-0.1%</f>
        <v>0.49229224406878042</v>
      </c>
      <c r="AK63" s="189">
        <f t="shared" ref="AK63" si="175">AF63-0.1%</f>
        <v>0.51077545058333174</v>
      </c>
      <c r="AL63" s="188">
        <f>AL62/AL45</f>
        <v>0.51146277220653291</v>
      </c>
      <c r="AM63" s="189">
        <f>AH63</f>
        <v>0.51228695268598601</v>
      </c>
      <c r="AN63" s="189">
        <f t="shared" ref="AN63" si="176">AI63</f>
        <v>0.53235584344549558</v>
      </c>
      <c r="AO63" s="189">
        <f t="shared" ref="AO63" si="177">AJ63</f>
        <v>0.49229224406878042</v>
      </c>
      <c r="AP63" s="189">
        <f t="shared" ref="AP63" si="178">AK63</f>
        <v>0.51077545058333174</v>
      </c>
      <c r="AQ63" s="188">
        <f>AQ62/AQ45</f>
        <v>0.51145926506270478</v>
      </c>
      <c r="AR63" s="189">
        <f>AM63</f>
        <v>0.51228695268598601</v>
      </c>
      <c r="AS63" s="189">
        <f t="shared" ref="AS63" si="179">AN63</f>
        <v>0.53235584344549558</v>
      </c>
      <c r="AT63" s="189">
        <f t="shared" ref="AT63" si="180">AO63</f>
        <v>0.49229224406878042</v>
      </c>
      <c r="AU63" s="189">
        <f t="shared" ref="AU63" si="181">AP63</f>
        <v>0.51077545058333174</v>
      </c>
      <c r="AV63" s="188">
        <f>AV62/AV45</f>
        <v>0.51146083183627311</v>
      </c>
    </row>
    <row r="64" spans="2:48" outlineLevel="1" x14ac:dyDescent="0.3">
      <c r="B64" s="180" t="s">
        <v>33</v>
      </c>
      <c r="C64" s="18"/>
      <c r="D64" s="48">
        <v>44.5</v>
      </c>
      <c r="E64" s="48">
        <v>39.4</v>
      </c>
      <c r="F64" s="48">
        <v>41.7</v>
      </c>
      <c r="G64" s="48">
        <v>34.200000000000003</v>
      </c>
      <c r="H64" s="49"/>
      <c r="I64" s="48">
        <v>42.5</v>
      </c>
      <c r="J64" s="48">
        <v>41.8</v>
      </c>
      <c r="K64" s="48">
        <v>40.700000000000003</v>
      </c>
      <c r="L64" s="48">
        <v>38</v>
      </c>
      <c r="M64" s="49"/>
      <c r="N64" s="48">
        <v>42.8</v>
      </c>
      <c r="O64" s="48">
        <v>41.9</v>
      </c>
      <c r="P64" s="48">
        <v>39.700000000000003</v>
      </c>
      <c r="Q64" s="105">
        <v>47.3</v>
      </c>
      <c r="R64" s="49"/>
      <c r="S64" s="48">
        <v>48.2</v>
      </c>
      <c r="T64" s="48">
        <v>47.1</v>
      </c>
      <c r="U64" s="48">
        <v>55.4</v>
      </c>
      <c r="V64" s="48">
        <f t="shared" ref="V64" si="182">V59*V65</f>
        <v>53.533280907647139</v>
      </c>
      <c r="W64" s="49">
        <f>SUM(S64:V64)</f>
        <v>204.23328090764716</v>
      </c>
      <c r="X64" s="48">
        <f>X59*X65</f>
        <v>53.162557130754159</v>
      </c>
      <c r="Y64" s="48">
        <f>Y59*Y65</f>
        <v>52.0524501954458</v>
      </c>
      <c r="Z64" s="48">
        <f t="shared" ref="Z64:AA64" si="183">Z59*Z65</f>
        <v>59.899395124145947</v>
      </c>
      <c r="AA64" s="48">
        <f t="shared" si="183"/>
        <v>57.704129516180721</v>
      </c>
      <c r="AB64" s="49">
        <f>SUM(X64:AA64)</f>
        <v>222.81853196652662</v>
      </c>
      <c r="AC64" s="48">
        <f>AC59*AC65</f>
        <v>57.256060059615379</v>
      </c>
      <c r="AD64" s="48">
        <f>AD59*AD65</f>
        <v>56.120237192919291</v>
      </c>
      <c r="AE64" s="48">
        <f t="shared" ref="AE64:AF64" si="184">AE59*AE65</f>
        <v>64.642719774532324</v>
      </c>
      <c r="AF64" s="48">
        <f t="shared" si="184"/>
        <v>62.336729748622339</v>
      </c>
      <c r="AG64" s="49">
        <f>SUM(AC64:AF64)</f>
        <v>240.35574677568931</v>
      </c>
      <c r="AH64" s="48">
        <f>AH59*AH65</f>
        <v>63.105694451848315</v>
      </c>
      <c r="AI64" s="48">
        <f>AI59*AI65</f>
        <v>61.928299934996467</v>
      </c>
      <c r="AJ64" s="48">
        <f t="shared" ref="AJ64:AK64" si="185">AJ59*AJ65</f>
        <v>71.403943347064839</v>
      </c>
      <c r="AK64" s="48">
        <f t="shared" si="185"/>
        <v>68.922528007962214</v>
      </c>
      <c r="AL64" s="49">
        <f>SUM(AH64:AK64)</f>
        <v>265.36046574187185</v>
      </c>
      <c r="AM64" s="48">
        <f>AM59*AM65</f>
        <v>68.500129315975087</v>
      </c>
      <c r="AN64" s="48">
        <f>AN59*AN65</f>
        <v>67.204701859293579</v>
      </c>
      <c r="AO64" s="48">
        <f t="shared" ref="AO64:AP64" si="186">AO59*AO65</f>
        <v>77.467202642214787</v>
      </c>
      <c r="AP64" s="48">
        <f t="shared" si="186"/>
        <v>74.76075960220092</v>
      </c>
      <c r="AQ64" s="49">
        <f>SUM(AM64:AP64)</f>
        <v>287.93279341968434</v>
      </c>
      <c r="AR64" s="48">
        <f>AR59*AR65</f>
        <v>72.863023176636403</v>
      </c>
      <c r="AS64" s="48">
        <f>AS59*AS65</f>
        <v>71.461540562097852</v>
      </c>
      <c r="AT64" s="48">
        <f t="shared" ref="AT64:AU64" si="187">AT59*AT65</f>
        <v>82.36185513796751</v>
      </c>
      <c r="AU64" s="48">
        <f t="shared" si="187"/>
        <v>79.46984367850412</v>
      </c>
      <c r="AV64" s="49">
        <f>SUM(AR64:AU64)</f>
        <v>306.15626255520584</v>
      </c>
    </row>
    <row r="65" spans="2:48" s="184" customFormat="1" outlineLevel="1" x14ac:dyDescent="0.3">
      <c r="B65" s="181" t="s">
        <v>152</v>
      </c>
      <c r="C65" s="190"/>
      <c r="D65" s="187">
        <f>D64/D59</f>
        <v>9.6476964769647705E-3</v>
      </c>
      <c r="E65" s="187">
        <f t="shared" ref="E65:U65" si="188">E64/E59</f>
        <v>9.1328434667717479E-3</v>
      </c>
      <c r="F65" s="187">
        <f t="shared" si="188"/>
        <v>8.908162611352034E-3</v>
      </c>
      <c r="G65" s="187">
        <f t="shared" si="188"/>
        <v>7.352625016124179E-3</v>
      </c>
      <c r="H65" s="188"/>
      <c r="I65" s="187">
        <f t="shared" si="188"/>
        <v>8.4815103075295863E-3</v>
      </c>
      <c r="J65" s="187">
        <f t="shared" si="188"/>
        <v>9.6535796766743648E-3</v>
      </c>
      <c r="K65" s="187">
        <f t="shared" si="188"/>
        <v>1.4507217964712174E-2</v>
      </c>
      <c r="L65" s="187">
        <f t="shared" si="188"/>
        <v>9.017774508175324E-3</v>
      </c>
      <c r="M65" s="188"/>
      <c r="N65" s="187">
        <f t="shared" si="188"/>
        <v>9.1001871066507915E-3</v>
      </c>
      <c r="O65" s="187">
        <f t="shared" si="188"/>
        <v>8.982549414740814E-3</v>
      </c>
      <c r="P65" s="187">
        <f t="shared" si="188"/>
        <v>7.3514434383275002E-3</v>
      </c>
      <c r="Q65" s="167">
        <f t="shared" si="188"/>
        <v>8.2075307999305916E-3</v>
      </c>
      <c r="R65" s="188"/>
      <c r="S65" s="187">
        <f t="shared" si="188"/>
        <v>8.4084922282504412E-3</v>
      </c>
      <c r="T65" s="187">
        <f t="shared" si="188"/>
        <v>8.6490258368988378E-3</v>
      </c>
      <c r="U65" s="187">
        <f t="shared" si="188"/>
        <v>9.1443285355869534E-3</v>
      </c>
      <c r="V65" s="189">
        <v>8.9999999999999993E-3</v>
      </c>
      <c r="W65" s="188">
        <f t="shared" ref="W65" si="189">W64/W59</f>
        <v>8.8090279317011178E-3</v>
      </c>
      <c r="X65" s="189">
        <f>S65</f>
        <v>8.4084922282504412E-3</v>
      </c>
      <c r="Y65" s="189">
        <f t="shared" ref="Y65" si="190">T65</f>
        <v>8.6490258368988378E-3</v>
      </c>
      <c r="Z65" s="189">
        <f t="shared" ref="Z65" si="191">U65</f>
        <v>9.1443285355869534E-3</v>
      </c>
      <c r="AA65" s="189">
        <f t="shared" ref="AA65" si="192">V65</f>
        <v>8.9999999999999993E-3</v>
      </c>
      <c r="AB65" s="188">
        <f t="shared" ref="AB65" si="193">AB64/AB59</f>
        <v>8.8060826641130126E-3</v>
      </c>
      <c r="AC65" s="189">
        <f>X65</f>
        <v>8.4084922282504412E-3</v>
      </c>
      <c r="AD65" s="189">
        <f t="shared" ref="AD65" si="194">Y65</f>
        <v>8.6490258368988378E-3</v>
      </c>
      <c r="AE65" s="189">
        <f t="shared" ref="AE65" si="195">Z65</f>
        <v>9.1443285355869534E-3</v>
      </c>
      <c r="AF65" s="189">
        <f t="shared" ref="AF65" si="196">AA65</f>
        <v>8.9999999999999993E-3</v>
      </c>
      <c r="AG65" s="188">
        <f t="shared" ref="AG65" si="197">AG64/AG59</f>
        <v>8.8063700772517562E-3</v>
      </c>
      <c r="AH65" s="189">
        <f>AC65</f>
        <v>8.4084922282504412E-3</v>
      </c>
      <c r="AI65" s="189">
        <f t="shared" ref="AI65" si="198">AD65</f>
        <v>8.6490258368988378E-3</v>
      </c>
      <c r="AJ65" s="189">
        <f t="shared" ref="AJ65" si="199">AE65</f>
        <v>9.1443285355869534E-3</v>
      </c>
      <c r="AK65" s="189">
        <f t="shared" ref="AK65" si="200">AF65</f>
        <v>8.9999999999999993E-3</v>
      </c>
      <c r="AL65" s="188">
        <f t="shared" ref="AL65" si="201">AL64/AL59</f>
        <v>8.8066725945612854E-3</v>
      </c>
      <c r="AM65" s="189">
        <f>AH65</f>
        <v>8.4084922282504412E-3</v>
      </c>
      <c r="AN65" s="189">
        <f t="shared" ref="AN65" si="202">AI65</f>
        <v>8.6490258368988378E-3</v>
      </c>
      <c r="AO65" s="189">
        <f t="shared" ref="AO65" si="203">AJ65</f>
        <v>9.1443285355869534E-3</v>
      </c>
      <c r="AP65" s="189">
        <f t="shared" ref="AP65" si="204">AK65</f>
        <v>8.9999999999999993E-3</v>
      </c>
      <c r="AQ65" s="188">
        <f t="shared" ref="AQ65" si="205">AQ64/AQ59</f>
        <v>8.8066014014564591E-3</v>
      </c>
      <c r="AR65" s="189">
        <f>AM65</f>
        <v>8.4084922282504412E-3</v>
      </c>
      <c r="AS65" s="189">
        <f t="shared" ref="AS65" si="206">AN65</f>
        <v>8.6490258368988378E-3</v>
      </c>
      <c r="AT65" s="189">
        <f t="shared" ref="AT65" si="207">AO65</f>
        <v>9.1443285355869534E-3</v>
      </c>
      <c r="AU65" s="189">
        <f t="shared" ref="AU65" si="208">AP65</f>
        <v>8.9999999999999993E-3</v>
      </c>
      <c r="AV65" s="188">
        <f t="shared" ref="AV65" si="209">AV64/AV59</f>
        <v>8.8065394274027976E-3</v>
      </c>
    </row>
    <row r="66" spans="2:48" outlineLevel="1" x14ac:dyDescent="0.3">
      <c r="B66" s="180" t="s">
        <v>34</v>
      </c>
      <c r="C66" s="18"/>
      <c r="D66" s="358">
        <v>166.9</v>
      </c>
      <c r="E66" s="358">
        <v>173</v>
      </c>
      <c r="F66" s="358">
        <v>175.6</v>
      </c>
      <c r="G66" s="358">
        <v>180.6</v>
      </c>
      <c r="H66" s="130"/>
      <c r="I66" s="358">
        <v>189.2</v>
      </c>
      <c r="J66" s="358">
        <v>191.5</v>
      </c>
      <c r="K66" s="358">
        <v>191.3</v>
      </c>
      <c r="L66" s="358">
        <v>190.1</v>
      </c>
      <c r="M66" s="359"/>
      <c r="N66" s="358">
        <v>188.9</v>
      </c>
      <c r="O66" s="358">
        <v>186</v>
      </c>
      <c r="P66" s="358">
        <v>188.9</v>
      </c>
      <c r="Q66" s="358">
        <v>189.9</v>
      </c>
      <c r="R66" s="170"/>
      <c r="S66" s="358">
        <v>200</v>
      </c>
      <c r="T66" s="358">
        <v>202</v>
      </c>
      <c r="U66" s="358">
        <v>201.2</v>
      </c>
      <c r="V66" s="358">
        <f>(U66/(U66+U99+U114+U127))*'CFS (Base-Case)'!V7*0.95</f>
        <v>208.17665687257025</v>
      </c>
      <c r="W66" s="170">
        <f t="shared" ref="W66:W67" si="210">SUM(S66:V66)</f>
        <v>811.37665687257027</v>
      </c>
      <c r="X66" s="358">
        <f>(V66/(V66+V99+V114+V127))*'CFS (Base-Case)'!X7*0.95</f>
        <v>211.63336018905395</v>
      </c>
      <c r="Y66" s="358">
        <f>(X66/(X66+X99+X114+X127))*'CFS (Base-Case)'!Y7*0.95</f>
        <v>220.6968361958499</v>
      </c>
      <c r="Z66" s="358">
        <f>(Y66/(Y66+Y99+Y114+Y127))*'CFS (Base-Case)'!Z7*0.95</f>
        <v>228.26135584994856</v>
      </c>
      <c r="AA66" s="358">
        <f>(Z66/(Z66+Z99+Z114+Z127))*'CFS (Base-Case)'!AA7*0.95</f>
        <v>237.38303634773175</v>
      </c>
      <c r="AB66" s="170">
        <f t="shared" ref="AB66:AB67" si="211">SUM(X66:AA66)</f>
        <v>897.97458858258415</v>
      </c>
      <c r="AC66" s="358">
        <f>(AA66/(AA66+AA99+AA114+AA127))*'CFS (Base-Case)'!AC7*0.95</f>
        <v>246.6202576488075</v>
      </c>
      <c r="AD66" s="358">
        <f>(AC66/(AC66+AC99+AC114+AC127))*'CFS (Base-Case)'!AD7*0.95</f>
        <v>253.77929516857887</v>
      </c>
      <c r="AE66" s="358">
        <f>(AD66/(AD66+AD99+AD114+AD127))*'CFS (Base-Case)'!AE7*0.95</f>
        <v>259.25354839469531</v>
      </c>
      <c r="AF66" s="358">
        <f>(AE66/(AE66+AE99+AE114+AE127))*'CFS (Base-Case)'!AF7*0.95</f>
        <v>266.42328526001182</v>
      </c>
      <c r="AG66" s="170">
        <f t="shared" ref="AG66:AG67" si="212">SUM(AC66:AF66)</f>
        <v>1026.0763864720936</v>
      </c>
      <c r="AH66" s="358">
        <f>(AF66/(AF66+AF99+AF114+AF127))*'CFS (Base-Case)'!AH7*0.95</f>
        <v>273.76965454916007</v>
      </c>
      <c r="AI66" s="358">
        <f>(AH66/(AH66+AH99+AH114+AH127))*'CFS (Base-Case)'!AI7*0.95</f>
        <v>279.25569289082978</v>
      </c>
      <c r="AJ66" s="358">
        <f>(AI66/(AI66+AI99+AI114+AI127))*'CFS (Base-Case)'!AJ7*0.95</f>
        <v>283.18181335783379</v>
      </c>
      <c r="AK66" s="358">
        <f>(AJ66/(AJ66+AJ99+AJ114+AJ127))*'CFS (Base-Case)'!AK7*0.95</f>
        <v>288.89560288592685</v>
      </c>
      <c r="AL66" s="170">
        <f t="shared" ref="AL66:AL67" si="213">SUM(AH66:AK66)</f>
        <v>1125.1027636837505</v>
      </c>
      <c r="AM66" s="358">
        <f>(AK66/(AK66+AK99+AK114+AK127))*'CFS (Base-Case)'!AM7*0.95</f>
        <v>294.90464360603869</v>
      </c>
      <c r="AN66" s="358">
        <f>(AM66/(AM66+AM99+AM114+AM127))*'CFS (Base-Case)'!AN7*0.95</f>
        <v>301.32056521892156</v>
      </c>
      <c r="AO66" s="358">
        <f>(AN66/(AN66+AN99+AN114+AN127))*'CFS (Base-Case)'!AO7*0.95</f>
        <v>305.88617301473738</v>
      </c>
      <c r="AP66" s="358">
        <f>(AO66/(AO66+AO99+AO114+AO127))*'CFS (Base-Case)'!AP7*0.95</f>
        <v>312.29527495623836</v>
      </c>
      <c r="AQ66" s="170">
        <f t="shared" ref="AQ66:AQ67" si="214">SUM(AM66:AP66)</f>
        <v>1214.4066567959358</v>
      </c>
      <c r="AR66" s="358">
        <f>(AP66/(AP66+AP99+AP114+AP127))*'CFS (Base-Case)'!AR7*0.95</f>
        <v>318.93637193993783</v>
      </c>
      <c r="AS66" s="358">
        <f>(AR66/(AR66+AR99+AR114+AR127))*'CFS (Base-Case)'!AS7*0.95</f>
        <v>325.47565273286807</v>
      </c>
      <c r="AT66" s="358">
        <f>(AS66/(AS66+AS99+AS114+AS127))*'CFS (Base-Case)'!AT7*0.95</f>
        <v>330.04475591345675</v>
      </c>
      <c r="AU66" s="358">
        <f>(AT66/(AT66+AT99+AT114+AT127))*'CFS (Base-Case)'!AU7*0.95</f>
        <v>336.58678537324772</v>
      </c>
      <c r="AV66" s="170">
        <f t="shared" ref="AV66:AV67" si="215">SUM(AR66:AU66)</f>
        <v>1311.0435659595105</v>
      </c>
    </row>
    <row r="67" spans="2:48" outlineLevel="1" x14ac:dyDescent="0.3">
      <c r="B67" s="180" t="s">
        <v>35</v>
      </c>
      <c r="C67" s="18"/>
      <c r="D67" s="48">
        <v>75.099999999999994</v>
      </c>
      <c r="E67" s="48">
        <v>70.900000000000006</v>
      </c>
      <c r="F67" s="48">
        <v>72</v>
      </c>
      <c r="G67" s="48">
        <v>106</v>
      </c>
      <c r="H67" s="49"/>
      <c r="I67" s="48">
        <v>72.400000000000006</v>
      </c>
      <c r="J67" s="48">
        <v>68.2</v>
      </c>
      <c r="K67" s="48">
        <v>62.2</v>
      </c>
      <c r="L67" s="48">
        <v>65.2</v>
      </c>
      <c r="M67" s="165"/>
      <c r="N67" s="48">
        <v>70.8</v>
      </c>
      <c r="O67" s="48">
        <v>77.7</v>
      </c>
      <c r="P67" s="48">
        <v>73.2</v>
      </c>
      <c r="Q67" s="105">
        <v>78.400000000000006</v>
      </c>
      <c r="R67" s="49"/>
      <c r="S67" s="48">
        <v>76.7</v>
      </c>
      <c r="T67" s="48">
        <v>71.3</v>
      </c>
      <c r="U67" s="48">
        <v>76.5</v>
      </c>
      <c r="V67" s="48">
        <f t="shared" ref="V67" si="216">V68*V59</f>
        <v>155.27045995612178</v>
      </c>
      <c r="W67" s="49">
        <f t="shared" si="210"/>
        <v>379.77045995612178</v>
      </c>
      <c r="X67" s="48">
        <f>X68*X59</f>
        <v>116.20926894464634</v>
      </c>
      <c r="Y67" s="48">
        <f>Y68*Y59</f>
        <v>93.842776412072908</v>
      </c>
      <c r="Z67" s="48">
        <f t="shared" ref="Z67:AA67" si="217">Z68*Z59</f>
        <v>99.089169053203605</v>
      </c>
      <c r="AA67" s="48">
        <f t="shared" si="217"/>
        <v>103.25208707025553</v>
      </c>
      <c r="AB67" s="49">
        <f t="shared" si="211"/>
        <v>412.39330148017837</v>
      </c>
      <c r="AC67" s="48">
        <f>AC68*AC59</f>
        <v>104.72941146746817</v>
      </c>
      <c r="AD67" s="48">
        <f>AD68*AD59</f>
        <v>114.15362637838234</v>
      </c>
      <c r="AE67" s="48">
        <f t="shared" ref="AE67:AF67" si="218">AE68*AE59</f>
        <v>99.866701136728594</v>
      </c>
      <c r="AF67" s="48">
        <f t="shared" si="218"/>
        <v>104.61506299967142</v>
      </c>
      <c r="AG67" s="49">
        <f t="shared" si="212"/>
        <v>423.36480198225053</v>
      </c>
      <c r="AH67" s="48">
        <f>AH68*AH59</f>
        <v>107.92422275442107</v>
      </c>
      <c r="AI67" s="48">
        <f>AI68*AI59</f>
        <v>118.80760266902939</v>
      </c>
      <c r="AJ67" s="48">
        <f t="shared" ref="AJ67:AK67" si="219">AJ68*AJ59</f>
        <v>102.50358287432111</v>
      </c>
      <c r="AK67" s="48">
        <f t="shared" si="219"/>
        <v>108.00945611427655</v>
      </c>
      <c r="AL67" s="49">
        <f t="shared" si="213"/>
        <v>437.24486441204812</v>
      </c>
      <c r="AM67" s="48">
        <f>AM68*AM59</f>
        <v>117.14985912475628</v>
      </c>
      <c r="AN67" s="48">
        <f>AN68*AN59</f>
        <v>128.93022292506743</v>
      </c>
      <c r="AO67" s="48">
        <f t="shared" ref="AO67:AP67" si="220">AO68*AO59</f>
        <v>111.20766520529294</v>
      </c>
      <c r="AP67" s="48">
        <f t="shared" si="220"/>
        <v>117.15863037396215</v>
      </c>
      <c r="AQ67" s="49">
        <f t="shared" si="214"/>
        <v>474.44637762907882</v>
      </c>
      <c r="AR67" s="48">
        <f>AR68*AR59</f>
        <v>124.61133994612956</v>
      </c>
      <c r="AS67" s="48">
        <f>AS68*AS59</f>
        <v>137.09684144615997</v>
      </c>
      <c r="AT67" s="48">
        <f t="shared" ref="AT67:AU67" si="221">AT68*AT59</f>
        <v>118.23415974076619</v>
      </c>
      <c r="AU67" s="48">
        <f t="shared" si="221"/>
        <v>124.53830179023915</v>
      </c>
      <c r="AV67" s="49">
        <f t="shared" si="215"/>
        <v>504.48064292329485</v>
      </c>
    </row>
    <row r="68" spans="2:48" s="184" customFormat="1" outlineLevel="1" x14ac:dyDescent="0.3">
      <c r="B68" s="181" t="s">
        <v>153</v>
      </c>
      <c r="C68" s="190"/>
      <c r="D68" s="187">
        <f>D67/D59</f>
        <v>1.6281842818428184E-2</v>
      </c>
      <c r="E68" s="187">
        <f t="shared" ref="E68:Q68" si="222">E67/E59</f>
        <v>1.6434482279038501E-2</v>
      </c>
      <c r="F68" s="187">
        <f t="shared" si="222"/>
        <v>1.5381000192262503E-2</v>
      </c>
      <c r="G68" s="187">
        <f t="shared" si="222"/>
        <v>2.2788837769273769E-2</v>
      </c>
      <c r="H68" s="188"/>
      <c r="I68" s="187">
        <f t="shared" si="222"/>
        <v>1.4448502265062167E-2</v>
      </c>
      <c r="J68" s="187">
        <f t="shared" si="222"/>
        <v>1.5750577367205542E-2</v>
      </c>
      <c r="K68" s="187">
        <f t="shared" si="222"/>
        <v>2.2170736054179293E-2</v>
      </c>
      <c r="L68" s="187">
        <f t="shared" si="222"/>
        <v>1.5472602577185029E-2</v>
      </c>
      <c r="M68" s="188"/>
      <c r="N68" s="187">
        <f t="shared" si="222"/>
        <v>1.5053580540908319E-2</v>
      </c>
      <c r="O68" s="187">
        <f t="shared" si="222"/>
        <v>1.6657376838314114E-2</v>
      </c>
      <c r="P68" s="187">
        <f t="shared" si="222"/>
        <v>1.3554802510971613E-2</v>
      </c>
      <c r="Q68" s="167">
        <f t="shared" si="222"/>
        <v>1.3604025681068889E-2</v>
      </c>
      <c r="R68" s="188"/>
      <c r="S68" s="187">
        <f t="shared" ref="S68:U68" si="223">S67/S59</f>
        <v>1.3380318545784415E-2</v>
      </c>
      <c r="T68" s="187">
        <f t="shared" si="223"/>
        <v>1.3092898984519897E-2</v>
      </c>
      <c r="U68" s="187">
        <f t="shared" si="223"/>
        <v>1.2627096263039747E-2</v>
      </c>
      <c r="V68" s="189">
        <f>Q68+1.25%</f>
        <v>2.6104025681068892E-2</v>
      </c>
      <c r="W68" s="188">
        <f t="shared" ref="W68" si="224">W67/W59</f>
        <v>1.638033025039258E-2</v>
      </c>
      <c r="X68" s="189">
        <f>S68+0.5%</f>
        <v>1.8380318545784414E-2</v>
      </c>
      <c r="Y68" s="189">
        <f>T68+0.25%</f>
        <v>1.5592898984519897E-2</v>
      </c>
      <c r="Z68" s="189">
        <f>U68+0.25%</f>
        <v>1.5127096263039748E-2</v>
      </c>
      <c r="AA68" s="189">
        <f>V68-1%</f>
        <v>1.610402568106889E-2</v>
      </c>
      <c r="AB68" s="188">
        <f t="shared" ref="AB68" si="225">AB67/AB59</f>
        <v>1.6298327930400733E-2</v>
      </c>
      <c r="AC68" s="189">
        <f>X68-0.3%</f>
        <v>1.5380318545784415E-2</v>
      </c>
      <c r="AD68" s="189">
        <f>Y68+0.2%</f>
        <v>1.7592898984519899E-2</v>
      </c>
      <c r="AE68" s="189">
        <f>Z68-0.1%</f>
        <v>1.4127096263039748E-2</v>
      </c>
      <c r="AF68" s="189">
        <f>AA68-0.1%</f>
        <v>1.5104025681068889E-2</v>
      </c>
      <c r="AG68" s="188">
        <f t="shared" ref="AG68" si="226">AG67/AG59</f>
        <v>1.5511620479029065E-2</v>
      </c>
      <c r="AH68" s="189">
        <f t="shared" ref="AH68" si="227">AC68-0.1%</f>
        <v>1.4380318545784414E-2</v>
      </c>
      <c r="AI68" s="189">
        <f t="shared" ref="AI68" si="228">AD68-0.1%</f>
        <v>1.6592898984519898E-2</v>
      </c>
      <c r="AJ68" s="189">
        <f t="shared" ref="AJ68" si="229">AE68-0.1%</f>
        <v>1.3127096263039748E-2</v>
      </c>
      <c r="AK68" s="189">
        <f t="shared" ref="AK68" si="230">AF68-0.1%</f>
        <v>1.4104025681068888E-2</v>
      </c>
      <c r="AL68" s="188">
        <f t="shared" ref="AL68" si="231">AL67/AL59</f>
        <v>1.4511100414920031E-2</v>
      </c>
      <c r="AM68" s="189">
        <f>AH68</f>
        <v>1.4380318545784414E-2</v>
      </c>
      <c r="AN68" s="189">
        <f t="shared" ref="AN68" si="232">AI68</f>
        <v>1.6592898984519898E-2</v>
      </c>
      <c r="AO68" s="189">
        <f t="shared" ref="AO68" si="233">AJ68</f>
        <v>1.3127096263039748E-2</v>
      </c>
      <c r="AP68" s="189">
        <f t="shared" ref="AP68" si="234">AK68</f>
        <v>1.4104025681068888E-2</v>
      </c>
      <c r="AQ68" s="188">
        <f t="shared" ref="AQ68" si="235">AQ67/AQ59</f>
        <v>1.4511233974151905E-2</v>
      </c>
      <c r="AR68" s="189">
        <f>AM68</f>
        <v>1.4380318545784414E-2</v>
      </c>
      <c r="AS68" s="189">
        <f t="shared" ref="AS68" si="236">AN68</f>
        <v>1.6592898984519898E-2</v>
      </c>
      <c r="AT68" s="189">
        <f t="shared" ref="AT68" si="237">AO68</f>
        <v>1.3127096263039748E-2</v>
      </c>
      <c r="AU68" s="189">
        <f t="shared" ref="AU68" si="238">AP68</f>
        <v>1.4104025681068888E-2</v>
      </c>
      <c r="AV68" s="188">
        <f t="shared" ref="AV68" si="239">AV67/AV59</f>
        <v>1.4511310777006885E-2</v>
      </c>
    </row>
    <row r="69" spans="2:48" ht="16.2" outlineLevel="1" x14ac:dyDescent="0.45">
      <c r="B69" s="180" t="s">
        <v>42</v>
      </c>
      <c r="C69" s="18"/>
      <c r="D69" s="119">
        <v>22.9</v>
      </c>
      <c r="E69" s="119">
        <v>18.2</v>
      </c>
      <c r="F69" s="119">
        <v>15.1</v>
      </c>
      <c r="G69" s="119">
        <v>0.7</v>
      </c>
      <c r="H69" s="131"/>
      <c r="I69" s="119">
        <v>5.2</v>
      </c>
      <c r="J69" s="119">
        <v>0.5</v>
      </c>
      <c r="K69" s="119">
        <v>56.2</v>
      </c>
      <c r="L69" s="119">
        <v>195.6</v>
      </c>
      <c r="M69" s="357"/>
      <c r="N69" s="119">
        <v>72.2</v>
      </c>
      <c r="O69" s="119">
        <v>23</v>
      </c>
      <c r="P69" s="119">
        <v>19.8</v>
      </c>
      <c r="Q69" s="119">
        <v>40.5</v>
      </c>
      <c r="R69" s="173"/>
      <c r="S69" s="119">
        <v>-7.5</v>
      </c>
      <c r="T69" s="119">
        <v>4.4000000000000004</v>
      </c>
      <c r="U69" s="119">
        <v>12</v>
      </c>
      <c r="V69" s="119">
        <f>IFERROR((V163*(U69/U163)),0)</f>
        <v>42.857142857142854</v>
      </c>
      <c r="W69" s="173">
        <f>SUM(S69:V69)</f>
        <v>51.757142857142853</v>
      </c>
      <c r="X69" s="119">
        <f>IFERROR((X163*(V69/V163)),0)</f>
        <v>42.857142857142854</v>
      </c>
      <c r="Y69" s="119">
        <f t="shared" ref="Y69:AA69" si="240">IFERROR((Y163*(X69/X163)),0)</f>
        <v>0</v>
      </c>
      <c r="Z69" s="119">
        <f t="shared" si="240"/>
        <v>0</v>
      </c>
      <c r="AA69" s="119">
        <f t="shared" si="240"/>
        <v>0</v>
      </c>
      <c r="AB69" s="173">
        <f>SUM(X69:AA69)</f>
        <v>42.857142857142854</v>
      </c>
      <c r="AC69" s="119">
        <f>IFERROR((AC163*(AA69/AA163)),0)</f>
        <v>0</v>
      </c>
      <c r="AD69" s="119">
        <f t="shared" ref="AD69:AF69" si="241">IFERROR((AD163*(AC69/AC163)),0)</f>
        <v>0</v>
      </c>
      <c r="AE69" s="119">
        <f t="shared" si="241"/>
        <v>0</v>
      </c>
      <c r="AF69" s="119">
        <f t="shared" si="241"/>
        <v>0</v>
      </c>
      <c r="AG69" s="173">
        <f>SUM(AC69:AF69)</f>
        <v>0</v>
      </c>
      <c r="AH69" s="119">
        <f>IFERROR((AH163*(AF69/AF163)),0)</f>
        <v>0</v>
      </c>
      <c r="AI69" s="119">
        <f t="shared" ref="AI69:AK69" si="242">IFERROR((AI163*(AH69/AH163)),0)</f>
        <v>0</v>
      </c>
      <c r="AJ69" s="119">
        <f t="shared" si="242"/>
        <v>0</v>
      </c>
      <c r="AK69" s="119">
        <f t="shared" si="242"/>
        <v>0</v>
      </c>
      <c r="AL69" s="173">
        <f>SUM(AH69:AK69)</f>
        <v>0</v>
      </c>
      <c r="AM69" s="119">
        <f>IFERROR((AM163*(AK69/AK163)),0)</f>
        <v>0</v>
      </c>
      <c r="AN69" s="119">
        <f t="shared" ref="AN69:AP69" si="243">IFERROR((AN163*(AM69/AM163)),0)</f>
        <v>0</v>
      </c>
      <c r="AO69" s="119">
        <f t="shared" si="243"/>
        <v>0</v>
      </c>
      <c r="AP69" s="119">
        <f t="shared" si="243"/>
        <v>0</v>
      </c>
      <c r="AQ69" s="173">
        <f>SUM(AM69:AP69)</f>
        <v>0</v>
      </c>
      <c r="AR69" s="119">
        <f>IFERROR((AR163*(AP69/AP163)),0)</f>
        <v>0</v>
      </c>
      <c r="AS69" s="119">
        <f t="shared" ref="AS69:AU69" si="244">IFERROR((AS163*(AR69/AR163)),0)</f>
        <v>0</v>
      </c>
      <c r="AT69" s="119">
        <f t="shared" si="244"/>
        <v>0</v>
      </c>
      <c r="AU69" s="119">
        <f t="shared" si="244"/>
        <v>0</v>
      </c>
      <c r="AV69" s="173">
        <f>SUM(AR69:AU69)</f>
        <v>0</v>
      </c>
    </row>
    <row r="70" spans="2:48" outlineLevel="1" x14ac:dyDescent="0.3">
      <c r="B70" s="46" t="s">
        <v>183</v>
      </c>
      <c r="C70" s="19"/>
      <c r="D70" s="103">
        <f>+D60+D62+D64+D66+D67+D69</f>
        <v>3643.7999999999997</v>
      </c>
      <c r="E70" s="103">
        <f t="shared" ref="E70:G70" si="245">+E60+E62+E64+E66+E67+E69</f>
        <v>3457.7</v>
      </c>
      <c r="F70" s="103">
        <f t="shared" si="245"/>
        <v>3662.3999999999996</v>
      </c>
      <c r="G70" s="103">
        <f t="shared" si="245"/>
        <v>3712.4999999999995</v>
      </c>
      <c r="H70" s="166">
        <f>+H60+H62+H64+H66+H67+H69</f>
        <v>0</v>
      </c>
      <c r="I70" s="103">
        <f t="shared" ref="I70:L70" si="246">+I60+I62+I64+I66+I67+I69</f>
        <v>3912.1</v>
      </c>
      <c r="J70" s="103">
        <f t="shared" si="246"/>
        <v>3708.8</v>
      </c>
      <c r="K70" s="103">
        <f t="shared" si="246"/>
        <v>3210.3999999999996</v>
      </c>
      <c r="L70" s="50">
        <f t="shared" si="246"/>
        <v>3707.8999999999996</v>
      </c>
      <c r="M70" s="191"/>
      <c r="N70" s="50">
        <f t="shared" ref="N70:Q70" si="247">+N60+N62+N64+N66+N67+N69</f>
        <v>3889.7000000000003</v>
      </c>
      <c r="O70" s="50">
        <f t="shared" si="247"/>
        <v>3759.2999999999997</v>
      </c>
      <c r="P70" s="50">
        <f t="shared" si="247"/>
        <v>4084.6</v>
      </c>
      <c r="Q70" s="103">
        <f t="shared" si="247"/>
        <v>4507.2</v>
      </c>
      <c r="R70" s="191"/>
      <c r="S70" s="50">
        <f>+S60+S62+S64+S66+S67+S69</f>
        <v>4649.2</v>
      </c>
      <c r="T70" s="50">
        <f t="shared" ref="T70:AK70" si="248">+T60+T62+T64+T66+T67+T69</f>
        <v>4514.2</v>
      </c>
      <c r="U70" s="50">
        <f t="shared" si="248"/>
        <v>4728.2999999999993</v>
      </c>
      <c r="V70" s="50">
        <f>+V60+V62+V64+V66+V67+V69</f>
        <v>4892.2388743154106</v>
      </c>
      <c r="W70" s="191">
        <f>+W60+W62+W64+W66+W67+W69</f>
        <v>18783.938874315409</v>
      </c>
      <c r="X70" s="50">
        <f t="shared" si="248"/>
        <v>5259.4847353509904</v>
      </c>
      <c r="Y70" s="50">
        <f t="shared" si="248"/>
        <v>5020.5373925704534</v>
      </c>
      <c r="Z70" s="50">
        <f t="shared" si="248"/>
        <v>5201.8203701811171</v>
      </c>
      <c r="AA70" s="50">
        <f t="shared" si="248"/>
        <v>5109.4986843892984</v>
      </c>
      <c r="AB70" s="191">
        <f>+AB60+AB62+AB64+AB66+AB67+AB69</f>
        <v>20591.341182491851</v>
      </c>
      <c r="AC70" s="50">
        <f t="shared" si="248"/>
        <v>5482.3544311026226</v>
      </c>
      <c r="AD70" s="50">
        <f t="shared" si="248"/>
        <v>5424.8127519412246</v>
      </c>
      <c r="AE70" s="50">
        <f t="shared" si="248"/>
        <v>5601.5942841094338</v>
      </c>
      <c r="AF70" s="50">
        <f t="shared" si="248"/>
        <v>5650.7045170295441</v>
      </c>
      <c r="AG70" s="191">
        <f>+AG60+AG62+AG64+AG66+AG67+AG69</f>
        <v>22159.465984182825</v>
      </c>
      <c r="AH70" s="50">
        <f t="shared" si="248"/>
        <v>6017.2787774582812</v>
      </c>
      <c r="AI70" s="50">
        <f t="shared" si="248"/>
        <v>5959.0811640759521</v>
      </c>
      <c r="AJ70" s="50">
        <f t="shared" si="248"/>
        <v>6156.0850833576133</v>
      </c>
      <c r="AK70" s="50">
        <f t="shared" si="248"/>
        <v>6214.1966692663655</v>
      </c>
      <c r="AL70" s="191">
        <f>+AL60+AL62+AL64+AL66+AL67+AL69</f>
        <v>24346.64169415821</v>
      </c>
      <c r="AM70" s="50">
        <f t="shared" ref="AM70:AP70" si="249">+AM60+AM62+AM64+AM66+AM67+AM69</f>
        <v>6524.8471904766475</v>
      </c>
      <c r="AN70" s="50">
        <f t="shared" si="249"/>
        <v>6463.9712410216134</v>
      </c>
      <c r="AO70" s="50">
        <f t="shared" si="249"/>
        <v>6679.7662939615593</v>
      </c>
      <c r="AP70" s="50">
        <f t="shared" si="249"/>
        <v>6744.9922479079878</v>
      </c>
      <c r="AQ70" s="191">
        <f>+AQ60+AQ62+AQ64+AQ66+AQ67+AQ69</f>
        <v>26413.576973367806</v>
      </c>
      <c r="AR70" s="50">
        <f t="shared" ref="AR70:AU70" si="250">+AR60+AR62+AR64+AR66+AR67+AR69</f>
        <v>6953.3706441778231</v>
      </c>
      <c r="AS70" s="50">
        <f t="shared" si="250"/>
        <v>6886.2393124695263</v>
      </c>
      <c r="AT70" s="50">
        <f t="shared" si="250"/>
        <v>7113.9789122982984</v>
      </c>
      <c r="AU70" s="50">
        <f t="shared" si="250"/>
        <v>7181.5651383312206</v>
      </c>
      <c r="AV70" s="191">
        <f>+AV60+AV62+AV64+AV66+AV67+AV69</f>
        <v>28135.154007276869</v>
      </c>
    </row>
    <row r="71" spans="2:48" outlineLevel="1" x14ac:dyDescent="0.3">
      <c r="B71" s="46" t="s">
        <v>184</v>
      </c>
      <c r="C71" s="44"/>
      <c r="D71" s="156">
        <f t="shared" ref="D71:G71" si="251">+D59-D70</f>
        <v>968.70000000000027</v>
      </c>
      <c r="E71" s="156">
        <f t="shared" si="251"/>
        <v>856.40000000000055</v>
      </c>
      <c r="F71" s="156">
        <f t="shared" si="251"/>
        <v>1018.6999999999998</v>
      </c>
      <c r="G71" s="156">
        <f t="shared" si="251"/>
        <v>938.90000000000009</v>
      </c>
      <c r="H71" s="132">
        <f>SUM(D71:G71)</f>
        <v>3782.7000000000007</v>
      </c>
      <c r="I71" s="156">
        <f t="shared" ref="I71:L71" si="252">+I59-I70</f>
        <v>1098.7999999999997</v>
      </c>
      <c r="J71" s="156">
        <f t="shared" si="252"/>
        <v>621.19999999999982</v>
      </c>
      <c r="K71" s="156">
        <f t="shared" si="252"/>
        <v>-404.89999999999964</v>
      </c>
      <c r="L71" s="74">
        <f t="shared" si="252"/>
        <v>506.00000000000091</v>
      </c>
      <c r="M71" s="97"/>
      <c r="N71" s="74">
        <f>+N59-N70</f>
        <v>813.49999999999955</v>
      </c>
      <c r="O71" s="74">
        <f t="shared" ref="O71:Q71" si="253">+O59-O70</f>
        <v>905.29999999999973</v>
      </c>
      <c r="P71" s="74">
        <f t="shared" si="253"/>
        <v>1315.7000000000003</v>
      </c>
      <c r="Q71" s="74">
        <f t="shared" si="253"/>
        <v>1255.8000000000002</v>
      </c>
      <c r="R71" s="97"/>
      <c r="S71" s="74">
        <f t="shared" ref="S71:U71" si="254">+S59-S70</f>
        <v>1083.1000000000004</v>
      </c>
      <c r="T71" s="74">
        <f t="shared" si="254"/>
        <v>931.5</v>
      </c>
      <c r="U71" s="74">
        <f t="shared" si="254"/>
        <v>1330.1000000000004</v>
      </c>
      <c r="V71" s="156">
        <f>+V59-V70</f>
        <v>1055.9034487564941</v>
      </c>
      <c r="W71" s="97">
        <f>SUM(S71:V71)</f>
        <v>4400.6034487564948</v>
      </c>
      <c r="X71" s="74">
        <f t="shared" ref="X71:AA71" si="255">+X59-X70</f>
        <v>1062.9992115498817</v>
      </c>
      <c r="Y71" s="74">
        <f t="shared" si="255"/>
        <v>997.76468873186514</v>
      </c>
      <c r="Z71" s="74">
        <f t="shared" si="255"/>
        <v>1348.6217854168217</v>
      </c>
      <c r="AA71" s="74">
        <f t="shared" si="255"/>
        <v>1302.0712618530042</v>
      </c>
      <c r="AB71" s="97">
        <f>SUM(X71:AA71)</f>
        <v>4711.4569475515727</v>
      </c>
      <c r="AC71" s="74">
        <f t="shared" ref="AC71:AF71" si="256">+AC59-AC70</f>
        <v>1326.9591182694357</v>
      </c>
      <c r="AD71" s="74">
        <f t="shared" si="256"/>
        <v>1063.8066892791694</v>
      </c>
      <c r="AE71" s="74">
        <f t="shared" si="256"/>
        <v>1467.5655260354515</v>
      </c>
      <c r="AF71" s="74">
        <f t="shared" si="256"/>
        <v>1275.5987883729385</v>
      </c>
      <c r="AG71" s="97">
        <f>SUM(AC71:AF71)</f>
        <v>5133.9301219569952</v>
      </c>
      <c r="AH71" s="74">
        <f t="shared" ref="AH71:AK71" si="257">+AH59-AH70</f>
        <v>1487.7164986066582</v>
      </c>
      <c r="AI71" s="74">
        <f t="shared" si="257"/>
        <v>1201.0662447565373</v>
      </c>
      <c r="AJ71" s="74">
        <f t="shared" si="257"/>
        <v>1652.4645623798888</v>
      </c>
      <c r="AK71" s="74">
        <f t="shared" si="257"/>
        <v>1443.8619982849923</v>
      </c>
      <c r="AL71" s="97">
        <f>SUM(AH71:AK71)</f>
        <v>5785.1093040280766</v>
      </c>
      <c r="AM71" s="74">
        <f t="shared" ref="AM71:AP71" si="258">+AM59-AM70</f>
        <v>1621.6941223441818</v>
      </c>
      <c r="AN71" s="74">
        <f t="shared" si="258"/>
        <v>1306.2335342470715</v>
      </c>
      <c r="AO71" s="74">
        <f t="shared" si="258"/>
        <v>1791.8456281971785</v>
      </c>
      <c r="AP71" s="74">
        <f t="shared" si="258"/>
        <v>1561.7588190032266</v>
      </c>
      <c r="AQ71" s="97">
        <f>SUM(AM71:AP71)</f>
        <v>6281.5321037916583</v>
      </c>
      <c r="AR71" s="74">
        <f t="shared" ref="AR71:AU71" si="259">+AR59-AR70</f>
        <v>1712.0382304162194</v>
      </c>
      <c r="AS71" s="74">
        <f t="shared" si="259"/>
        <v>1376.1409728599065</v>
      </c>
      <c r="AT71" s="74">
        <f t="shared" si="259"/>
        <v>1892.8994842335142</v>
      </c>
      <c r="AU71" s="74">
        <f t="shared" si="259"/>
        <v>1648.417492613683</v>
      </c>
      <c r="AV71" s="97">
        <f>SUM(AR71:AU71)</f>
        <v>6629.496180123323</v>
      </c>
    </row>
    <row r="72" spans="2:48" outlineLevel="1" x14ac:dyDescent="0.3">
      <c r="B72" s="46" t="s">
        <v>185</v>
      </c>
      <c r="C72" s="44"/>
      <c r="D72" s="157">
        <f t="shared" ref="D72:G72" si="260">+D71/D59</f>
        <v>0.21001626016260169</v>
      </c>
      <c r="E72" s="157">
        <f t="shared" si="260"/>
        <v>0.19851185647064287</v>
      </c>
      <c r="F72" s="157">
        <f t="shared" si="260"/>
        <v>0.21761979022024736</v>
      </c>
      <c r="G72" s="157">
        <f t="shared" si="260"/>
        <v>0.20185320548652022</v>
      </c>
      <c r="H72" s="133">
        <f>H71/H59</f>
        <v>0.20716793270205</v>
      </c>
      <c r="I72" s="157">
        <f t="shared" ref="I72:L72" si="261">+I71/I59</f>
        <v>0.21928196531561192</v>
      </c>
      <c r="J72" s="157">
        <f t="shared" si="261"/>
        <v>0.14346420323325632</v>
      </c>
      <c r="K72" s="157">
        <f t="shared" si="261"/>
        <v>-0.14432364997326666</v>
      </c>
      <c r="L72" s="75">
        <f t="shared" si="261"/>
        <v>0.12007878687201899</v>
      </c>
      <c r="M72" s="98"/>
      <c r="N72" s="75">
        <f>+N71/N59</f>
        <v>0.17296734138458913</v>
      </c>
      <c r="O72" s="75">
        <f t="shared" ref="O72:Q72" si="262">+O71/O59</f>
        <v>0.19407880632851687</v>
      </c>
      <c r="P72" s="75">
        <f t="shared" si="262"/>
        <v>0.24363461289187641</v>
      </c>
      <c r="Q72" s="75">
        <f t="shared" si="262"/>
        <v>0.21790733992712133</v>
      </c>
      <c r="R72" s="98"/>
      <c r="S72" s="75">
        <f t="shared" ref="S72:V72" si="263">+S71/S59</f>
        <v>0.188946845070914</v>
      </c>
      <c r="T72" s="75">
        <f t="shared" si="263"/>
        <v>0.17105238995905026</v>
      </c>
      <c r="U72" s="75">
        <f t="shared" si="263"/>
        <v>0.21954641489502186</v>
      </c>
      <c r="V72" s="75">
        <f t="shared" si="263"/>
        <v>0.17751818826876609</v>
      </c>
      <c r="W72" s="98">
        <f>W71/W59</f>
        <v>0.1898076480197442</v>
      </c>
      <c r="X72" s="75">
        <f t="shared" ref="X72:AA72" si="264">+X71/X59</f>
        <v>0.16812999771568232</v>
      </c>
      <c r="Y72" s="75">
        <f t="shared" si="264"/>
        <v>0.16578840265126005</v>
      </c>
      <c r="Z72" s="75">
        <f t="shared" si="264"/>
        <v>0.20588255775441108</v>
      </c>
      <c r="AA72" s="75">
        <f t="shared" si="264"/>
        <v>0.2030815030905376</v>
      </c>
      <c r="AB72" s="98">
        <f>AB71/AB59</f>
        <v>0.18620300108063526</v>
      </c>
      <c r="AC72" s="75">
        <f t="shared" ref="AC72:AF72" si="265">+AC71/AC59</f>
        <v>0.19487413946326576</v>
      </c>
      <c r="AD72" s="75">
        <f t="shared" si="265"/>
        <v>0.16394961962495466</v>
      </c>
      <c r="AE72" s="75">
        <f t="shared" si="265"/>
        <v>0.20760112452534485</v>
      </c>
      <c r="AF72" s="75">
        <f t="shared" si="265"/>
        <v>0.18416733026663412</v>
      </c>
      <c r="AG72" s="98">
        <f>AG71/AG59</f>
        <v>0.18810155035276413</v>
      </c>
      <c r="AH72" s="75">
        <f t="shared" ref="AH72:AK72" si="266">+AH71/AH59</f>
        <v>0.19823017122359948</v>
      </c>
      <c r="AI72" s="75">
        <f t="shared" si="266"/>
        <v>0.16774322876019943</v>
      </c>
      <c r="AJ72" s="75">
        <f t="shared" si="266"/>
        <v>0.21162246990155581</v>
      </c>
      <c r="AK72" s="75">
        <f t="shared" si="266"/>
        <v>0.18854151697778296</v>
      </c>
      <c r="AL72" s="98">
        <f>AL71/AL59</f>
        <v>0.19199379765139762</v>
      </c>
      <c r="AM72" s="75">
        <f t="shared" ref="AM72:AP72" si="267">+AM71/AM59</f>
        <v>0.19906535302190131</v>
      </c>
      <c r="AN72" s="75">
        <f t="shared" si="267"/>
        <v>0.16810799355051789</v>
      </c>
      <c r="AO72" s="75">
        <f t="shared" si="267"/>
        <v>0.21151176950284334</v>
      </c>
      <c r="AP72" s="75">
        <f t="shared" si="267"/>
        <v>0.18801078862520332</v>
      </c>
      <c r="AQ72" s="98">
        <f>AQ71/AQ59</f>
        <v>0.1921245189599286</v>
      </c>
      <c r="AR72" s="75">
        <f t="shared" ref="AR72:AU72" si="268">+AR71/AR59</f>
        <v>0.19757154627010315</v>
      </c>
      <c r="AS72" s="75">
        <f t="shared" si="268"/>
        <v>0.16655502716370527</v>
      </c>
      <c r="AT72" s="75">
        <f t="shared" si="268"/>
        <v>0.21016154553195632</v>
      </c>
      <c r="AU72" s="75">
        <f t="shared" si="268"/>
        <v>0.18668411496493334</v>
      </c>
      <c r="AV72" s="98">
        <f>AV71/AV59</f>
        <v>0.19069647312389934</v>
      </c>
    </row>
    <row r="73" spans="2:48" ht="17.399999999999999" x14ac:dyDescent="0.45">
      <c r="B73" s="455" t="s">
        <v>114</v>
      </c>
      <c r="C73" s="456"/>
      <c r="D73" s="14" t="s">
        <v>19</v>
      </c>
      <c r="E73" s="14" t="s">
        <v>81</v>
      </c>
      <c r="F73" s="14" t="s">
        <v>85</v>
      </c>
      <c r="G73" s="14" t="s">
        <v>95</v>
      </c>
      <c r="H73" s="40" t="s">
        <v>96</v>
      </c>
      <c r="I73" s="14" t="s">
        <v>97</v>
      </c>
      <c r="J73" s="14" t="s">
        <v>98</v>
      </c>
      <c r="K73" s="14" t="s">
        <v>99</v>
      </c>
      <c r="L73" s="14" t="s">
        <v>142</v>
      </c>
      <c r="M73" s="40" t="s">
        <v>143</v>
      </c>
      <c r="N73" s="14" t="s">
        <v>149</v>
      </c>
      <c r="O73" s="14" t="s">
        <v>157</v>
      </c>
      <c r="P73" s="14" t="s">
        <v>159</v>
      </c>
      <c r="Q73" s="14" t="s">
        <v>172</v>
      </c>
      <c r="R73" s="40" t="s">
        <v>173</v>
      </c>
      <c r="S73" s="14" t="s">
        <v>188</v>
      </c>
      <c r="T73" s="14" t="s">
        <v>189</v>
      </c>
      <c r="U73" s="14" t="s">
        <v>204</v>
      </c>
      <c r="V73" s="12" t="s">
        <v>25</v>
      </c>
      <c r="W73" s="42" t="s">
        <v>26</v>
      </c>
      <c r="X73" s="12" t="s">
        <v>27</v>
      </c>
      <c r="Y73" s="12" t="s">
        <v>28</v>
      </c>
      <c r="Z73" s="12" t="s">
        <v>29</v>
      </c>
      <c r="AA73" s="12" t="s">
        <v>30</v>
      </c>
      <c r="AB73" s="42" t="s">
        <v>31</v>
      </c>
      <c r="AC73" s="12" t="s">
        <v>90</v>
      </c>
      <c r="AD73" s="12" t="s">
        <v>91</v>
      </c>
      <c r="AE73" s="12" t="s">
        <v>92</v>
      </c>
      <c r="AF73" s="12" t="s">
        <v>93</v>
      </c>
      <c r="AG73" s="42" t="s">
        <v>94</v>
      </c>
      <c r="AH73" s="12" t="s">
        <v>109</v>
      </c>
      <c r="AI73" s="12" t="s">
        <v>110</v>
      </c>
      <c r="AJ73" s="12" t="s">
        <v>111</v>
      </c>
      <c r="AK73" s="12" t="s">
        <v>112</v>
      </c>
      <c r="AL73" s="42" t="s">
        <v>113</v>
      </c>
      <c r="AM73" s="12" t="s">
        <v>164</v>
      </c>
      <c r="AN73" s="12" t="s">
        <v>165</v>
      </c>
      <c r="AO73" s="12" t="s">
        <v>166</v>
      </c>
      <c r="AP73" s="12" t="s">
        <v>167</v>
      </c>
      <c r="AQ73" s="42" t="s">
        <v>168</v>
      </c>
      <c r="AR73" s="12" t="s">
        <v>195</v>
      </c>
      <c r="AS73" s="12" t="s">
        <v>196</v>
      </c>
      <c r="AT73" s="12" t="s">
        <v>197</v>
      </c>
      <c r="AU73" s="12" t="s">
        <v>198</v>
      </c>
      <c r="AV73" s="42" t="s">
        <v>199</v>
      </c>
    </row>
    <row r="74" spans="2:48" s="8" customFormat="1" outlineLevel="1" x14ac:dyDescent="0.3">
      <c r="B74" s="457" t="s">
        <v>115</v>
      </c>
      <c r="C74" s="458"/>
      <c r="D74" s="21">
        <v>5839</v>
      </c>
      <c r="E74" s="21">
        <v>5879</v>
      </c>
      <c r="F74" s="116">
        <v>5646</v>
      </c>
      <c r="G74" s="21">
        <v>5860</v>
      </c>
      <c r="H74" s="191">
        <f>G74</f>
        <v>5860</v>
      </c>
      <c r="I74" s="21">
        <v>6059</v>
      </c>
      <c r="J74" s="21">
        <v>6137</v>
      </c>
      <c r="K74" s="21">
        <v>6254</v>
      </c>
      <c r="L74" s="21">
        <v>6528</v>
      </c>
      <c r="M74" s="191">
        <f>L74</f>
        <v>6528</v>
      </c>
      <c r="N74" s="21">
        <v>6713</v>
      </c>
      <c r="O74" s="21">
        <f>+N74+O75</f>
        <v>6836</v>
      </c>
      <c r="P74" s="21">
        <f t="shared" ref="P74:Q74" si="269">+O74+P75</f>
        <v>7013</v>
      </c>
      <c r="Q74" s="21">
        <f t="shared" si="269"/>
        <v>7272</v>
      </c>
      <c r="R74" s="191">
        <f>Q74</f>
        <v>7272</v>
      </c>
      <c r="S74" s="21">
        <f>+Q74+S75</f>
        <v>7485</v>
      </c>
      <c r="T74" s="21">
        <f>+S74+T75</f>
        <v>7587</v>
      </c>
      <c r="U74" s="21">
        <f t="shared" ref="U74:V74" si="270">+T74+U75</f>
        <v>7717</v>
      </c>
      <c r="V74" s="21">
        <f t="shared" si="270"/>
        <v>7967</v>
      </c>
      <c r="W74" s="191">
        <f>V74</f>
        <v>7967</v>
      </c>
      <c r="X74" s="21">
        <f>+V74+X75</f>
        <v>8222</v>
      </c>
      <c r="Y74" s="21">
        <f>+X74+Y75</f>
        <v>8477</v>
      </c>
      <c r="Z74" s="21">
        <f t="shared" ref="Z74:AA74" si="271">+Y74+Z75</f>
        <v>8732</v>
      </c>
      <c r="AA74" s="21">
        <f t="shared" si="271"/>
        <v>8989</v>
      </c>
      <c r="AB74" s="191">
        <f>AA74</f>
        <v>8989</v>
      </c>
      <c r="AC74" s="21">
        <f>+AA74+AC75</f>
        <v>9253</v>
      </c>
      <c r="AD74" s="21">
        <f>+AC74+AD75</f>
        <v>9517</v>
      </c>
      <c r="AE74" s="21">
        <f t="shared" ref="AE74" si="272">+AD74+AE75</f>
        <v>9781</v>
      </c>
      <c r="AF74" s="21">
        <f t="shared" ref="AF74" si="273">+AE74+AF75</f>
        <v>10049</v>
      </c>
      <c r="AG74" s="191">
        <f>AF74</f>
        <v>10049</v>
      </c>
      <c r="AH74" s="21">
        <f>+AF74+AH75</f>
        <v>10323</v>
      </c>
      <c r="AI74" s="21">
        <f>+AH74+AI75</f>
        <v>10597</v>
      </c>
      <c r="AJ74" s="21">
        <f t="shared" ref="AJ74" si="274">+AI74+AJ75</f>
        <v>10871</v>
      </c>
      <c r="AK74" s="21">
        <f t="shared" ref="AK74" si="275">+AJ74+AK75</f>
        <v>11147</v>
      </c>
      <c r="AL74" s="191">
        <f>AK74</f>
        <v>11147</v>
      </c>
      <c r="AM74" s="21">
        <f>+AK74+AM75</f>
        <v>11277</v>
      </c>
      <c r="AN74" s="21">
        <f>+AM74+AN75</f>
        <v>11407</v>
      </c>
      <c r="AO74" s="21">
        <f t="shared" ref="AO74" si="276">+AN74+AO75</f>
        <v>11537</v>
      </c>
      <c r="AP74" s="21">
        <f t="shared" ref="AP74" si="277">+AO74+AP75</f>
        <v>11667</v>
      </c>
      <c r="AQ74" s="191">
        <f>AP74</f>
        <v>11667</v>
      </c>
      <c r="AR74" s="21">
        <f>+AP74+AR75</f>
        <v>11797</v>
      </c>
      <c r="AS74" s="21">
        <f>+AR74+AS75</f>
        <v>11927</v>
      </c>
      <c r="AT74" s="21">
        <f t="shared" ref="AT74" si="278">+AS74+AT75</f>
        <v>12057</v>
      </c>
      <c r="AU74" s="21">
        <f t="shared" ref="AU74" si="279">+AT74+AU75</f>
        <v>12187</v>
      </c>
      <c r="AV74" s="191">
        <f>AU74</f>
        <v>12187</v>
      </c>
    </row>
    <row r="75" spans="2:48" outlineLevel="1" x14ac:dyDescent="0.3">
      <c r="B75" s="180" t="s">
        <v>46</v>
      </c>
      <c r="C75" s="201"/>
      <c r="D75" s="101">
        <f>+D74-5651</f>
        <v>188</v>
      </c>
      <c r="E75" s="101">
        <f>+E74-D74</f>
        <v>40</v>
      </c>
      <c r="F75" s="101">
        <f t="shared" ref="F75:G75" si="280">+F74-E74</f>
        <v>-233</v>
      </c>
      <c r="G75" s="101">
        <f t="shared" si="280"/>
        <v>214</v>
      </c>
      <c r="H75" s="26">
        <f>+SUM(D75:G75)</f>
        <v>209</v>
      </c>
      <c r="I75" s="101">
        <f>+I74-G74</f>
        <v>199</v>
      </c>
      <c r="J75" s="101">
        <f t="shared" ref="J75:L75" si="281">+J74-I74</f>
        <v>78</v>
      </c>
      <c r="K75" s="101">
        <f t="shared" si="281"/>
        <v>117</v>
      </c>
      <c r="L75" s="101">
        <f t="shared" si="281"/>
        <v>274</v>
      </c>
      <c r="M75" s="26">
        <f>+SUM(I75:L75)</f>
        <v>668</v>
      </c>
      <c r="N75" s="101">
        <v>185</v>
      </c>
      <c r="O75" s="101">
        <v>123</v>
      </c>
      <c r="P75" s="101">
        <v>177</v>
      </c>
      <c r="Q75" s="101">
        <v>259</v>
      </c>
      <c r="R75" s="26">
        <f>+SUM(N75:Q75)</f>
        <v>744</v>
      </c>
      <c r="S75" s="101">
        <v>213</v>
      </c>
      <c r="T75" s="101">
        <v>102</v>
      </c>
      <c r="U75" s="101">
        <v>130</v>
      </c>
      <c r="V75" s="33">
        <v>250</v>
      </c>
      <c r="W75" s="122">
        <f>+SUM(S75:V75)</f>
        <v>695</v>
      </c>
      <c r="X75" s="33">
        <v>255</v>
      </c>
      <c r="Y75" s="33">
        <v>255</v>
      </c>
      <c r="Z75" s="33">
        <v>255</v>
      </c>
      <c r="AA75" s="33">
        <v>257</v>
      </c>
      <c r="AB75" s="26">
        <f>+SUM(X75:AA75)</f>
        <v>1022</v>
      </c>
      <c r="AC75" s="33">
        <v>264</v>
      </c>
      <c r="AD75" s="33">
        <v>264</v>
      </c>
      <c r="AE75" s="33">
        <v>264</v>
      </c>
      <c r="AF75" s="33">
        <v>268</v>
      </c>
      <c r="AG75" s="26">
        <f>+SUM(AC75:AF75)</f>
        <v>1060</v>
      </c>
      <c r="AH75" s="95">
        <v>274</v>
      </c>
      <c r="AI75" s="33">
        <v>274</v>
      </c>
      <c r="AJ75" s="33">
        <v>274</v>
      </c>
      <c r="AK75" s="33">
        <v>276</v>
      </c>
      <c r="AL75" s="26">
        <f>+SUM(AH75:AK75)</f>
        <v>1098</v>
      </c>
      <c r="AM75" s="33">
        <v>130</v>
      </c>
      <c r="AN75" s="33">
        <v>130</v>
      </c>
      <c r="AO75" s="33">
        <v>130</v>
      </c>
      <c r="AP75" s="33">
        <v>130</v>
      </c>
      <c r="AQ75" s="26">
        <f>+SUM(AM75:AP75)</f>
        <v>520</v>
      </c>
      <c r="AR75" s="33">
        <v>130</v>
      </c>
      <c r="AS75" s="33">
        <v>130</v>
      </c>
      <c r="AT75" s="33">
        <v>130</v>
      </c>
      <c r="AU75" s="33">
        <v>130</v>
      </c>
      <c r="AV75" s="26">
        <f>+SUM(AR75:AU75)</f>
        <v>520</v>
      </c>
    </row>
    <row r="76" spans="2:48" outlineLevel="1" x14ac:dyDescent="0.3">
      <c r="B76" s="180" t="s">
        <v>201</v>
      </c>
      <c r="C76" s="201"/>
      <c r="D76" s="101"/>
      <c r="E76" s="101">
        <f>AVERAGE(D74,E74)</f>
        <v>5859</v>
      </c>
      <c r="F76" s="101">
        <f t="shared" ref="F76:G76" si="282">AVERAGE(E74,F74)</f>
        <v>5762.5</v>
      </c>
      <c r="G76" s="101">
        <f t="shared" si="282"/>
        <v>5753</v>
      </c>
      <c r="H76" s="26"/>
      <c r="I76" s="101">
        <f>AVERAGE(G74,I74)</f>
        <v>5959.5</v>
      </c>
      <c r="J76" s="101">
        <f t="shared" ref="J76:L76" si="283">AVERAGE(I74,J74)</f>
        <v>6098</v>
      </c>
      <c r="K76" s="101">
        <f t="shared" si="283"/>
        <v>6195.5</v>
      </c>
      <c r="L76" s="101">
        <f t="shared" si="283"/>
        <v>6391</v>
      </c>
      <c r="M76" s="26"/>
      <c r="N76" s="101">
        <f>AVERAGE(L74,N74)</f>
        <v>6620.5</v>
      </c>
      <c r="O76" s="101">
        <f t="shared" ref="O76:Q76" si="284">AVERAGE(N74,O74)</f>
        <v>6774.5</v>
      </c>
      <c r="P76" s="101">
        <f t="shared" si="284"/>
        <v>6924.5</v>
      </c>
      <c r="Q76" s="101">
        <f t="shared" si="284"/>
        <v>7142.5</v>
      </c>
      <c r="R76" s="26"/>
      <c r="S76" s="101">
        <f>AVERAGE(Q74,S74)</f>
        <v>7378.5</v>
      </c>
      <c r="T76" s="101">
        <f>AVERAGE(S74,T74)</f>
        <v>7536</v>
      </c>
      <c r="U76" s="101">
        <f t="shared" ref="U76:V76" si="285">AVERAGE(T74,U74)</f>
        <v>7652</v>
      </c>
      <c r="V76" s="101">
        <f t="shared" si="285"/>
        <v>7842</v>
      </c>
      <c r="W76" s="122"/>
      <c r="X76" s="101">
        <f>AVERAGE(V74,X74)</f>
        <v>8094.5</v>
      </c>
      <c r="Y76" s="101">
        <f t="shared" ref="Y76:AA76" si="286">AVERAGE(X74,Y74)</f>
        <v>8349.5</v>
      </c>
      <c r="Z76" s="101">
        <f t="shared" si="286"/>
        <v>8604.5</v>
      </c>
      <c r="AA76" s="101">
        <f t="shared" si="286"/>
        <v>8860.5</v>
      </c>
      <c r="AB76" s="26"/>
      <c r="AC76" s="101">
        <f>AVERAGE(AA74,AC74)</f>
        <v>9121</v>
      </c>
      <c r="AD76" s="101">
        <f t="shared" ref="AD76" si="287">AVERAGE(AC74,AD74)</f>
        <v>9385</v>
      </c>
      <c r="AE76" s="101">
        <f t="shared" ref="AE76" si="288">AVERAGE(AD74,AE74)</f>
        <v>9649</v>
      </c>
      <c r="AF76" s="101">
        <f t="shared" ref="AF76" si="289">AVERAGE(AE74,AF74)</f>
        <v>9915</v>
      </c>
      <c r="AG76" s="26"/>
      <c r="AH76" s="101">
        <f>AVERAGE(AF74,AH74)</f>
        <v>10186</v>
      </c>
      <c r="AI76" s="101">
        <f t="shared" ref="AI76" si="290">AVERAGE(AH74,AI74)</f>
        <v>10460</v>
      </c>
      <c r="AJ76" s="101">
        <f t="shared" ref="AJ76" si="291">AVERAGE(AI74,AJ74)</f>
        <v>10734</v>
      </c>
      <c r="AK76" s="101">
        <f t="shared" ref="AK76" si="292">AVERAGE(AJ74,AK74)</f>
        <v>11009</v>
      </c>
      <c r="AL76" s="26"/>
      <c r="AM76" s="101">
        <f>AVERAGE(AK74,AM74)</f>
        <v>11212</v>
      </c>
      <c r="AN76" s="101">
        <f t="shared" ref="AN76" si="293">AVERAGE(AM74,AN74)</f>
        <v>11342</v>
      </c>
      <c r="AO76" s="101">
        <f t="shared" ref="AO76" si="294">AVERAGE(AN74,AO74)</f>
        <v>11472</v>
      </c>
      <c r="AP76" s="101">
        <f t="shared" ref="AP76" si="295">AVERAGE(AO74,AP74)</f>
        <v>11602</v>
      </c>
      <c r="AQ76" s="26"/>
      <c r="AR76" s="101">
        <f>AVERAGE(AP74,AR74)</f>
        <v>11732</v>
      </c>
      <c r="AS76" s="101">
        <f t="shared" ref="AS76" si="296">AVERAGE(AR74,AS74)</f>
        <v>11862</v>
      </c>
      <c r="AT76" s="101">
        <f t="shared" ref="AT76" si="297">AVERAGE(AS74,AT74)</f>
        <v>11992</v>
      </c>
      <c r="AU76" s="101">
        <f t="shared" ref="AU76" si="298">AVERAGE(AT74,AU74)</f>
        <v>12122</v>
      </c>
      <c r="AV76" s="26"/>
    </row>
    <row r="77" spans="2:48" s="20" customFormat="1" outlineLevel="1" x14ac:dyDescent="0.3">
      <c r="B77" s="180" t="s">
        <v>206</v>
      </c>
      <c r="C77" s="206"/>
      <c r="D77" s="43"/>
      <c r="E77" s="43">
        <f>+E78/E76</f>
        <v>0.22348523638846221</v>
      </c>
      <c r="F77" s="114">
        <f>+F78/F76</f>
        <v>0.2347592190889371</v>
      </c>
      <c r="G77" s="43">
        <f>+G78/G76</f>
        <v>0.22873283504258649</v>
      </c>
      <c r="H77" s="97"/>
      <c r="I77" s="43">
        <f>+I78/I76</f>
        <v>0.21976675895628828</v>
      </c>
      <c r="J77" s="43">
        <f>+J78/J76</f>
        <v>0.14798294522794359</v>
      </c>
      <c r="K77" s="43">
        <f>+K78/K76</f>
        <v>0.14131224275683965</v>
      </c>
      <c r="L77" s="43">
        <f>+L78/L76</f>
        <v>0.20314504772336098</v>
      </c>
      <c r="M77" s="97"/>
      <c r="N77" s="43">
        <f>+N78/N76</f>
        <v>0.21776300883619062</v>
      </c>
      <c r="O77" s="43">
        <f>+O78/O76</f>
        <v>0.20439884862351465</v>
      </c>
      <c r="P77" s="43">
        <f>+P78/P76</f>
        <v>0.20698967434471802</v>
      </c>
      <c r="Q77" s="43">
        <f>+Q78/Q76</f>
        <v>0.22541127056352817</v>
      </c>
      <c r="R77" s="97"/>
      <c r="S77" s="43">
        <f>+S78/S76</f>
        <v>0.20441824219014704</v>
      </c>
      <c r="T77" s="43">
        <f>+T78/T76</f>
        <v>0.17786624203821658</v>
      </c>
      <c r="U77" s="43">
        <f>+U78/U76</f>
        <v>0.15189492943021432</v>
      </c>
      <c r="V77" s="62">
        <f>Q77*0.8</f>
        <v>0.18032901645082255</v>
      </c>
      <c r="W77" s="132"/>
      <c r="X77" s="62">
        <f>S77*0.85</f>
        <v>0.17375550586162497</v>
      </c>
      <c r="Y77" s="62">
        <f>T77*0.95</f>
        <v>0.16897292993630575</v>
      </c>
      <c r="Z77" s="62">
        <f>U77*1.2</f>
        <v>0.18227391531625717</v>
      </c>
      <c r="AA77" s="62">
        <f>V77*1.2</f>
        <v>0.21639481974098707</v>
      </c>
      <c r="AB77" s="97"/>
      <c r="AC77" s="62">
        <f>X77*1.2</f>
        <v>0.20850660703394996</v>
      </c>
      <c r="AD77" s="62">
        <f>Y77*1.05</f>
        <v>0.17742157643312104</v>
      </c>
      <c r="AE77" s="62">
        <f>Z77*1.05</f>
        <v>0.19138761108207003</v>
      </c>
      <c r="AF77" s="62">
        <f>AA77*1.05</f>
        <v>0.22721456072803642</v>
      </c>
      <c r="AG77" s="97"/>
      <c r="AH77" s="62">
        <f>AC77*1.05</f>
        <v>0.21893193738564748</v>
      </c>
      <c r="AI77" s="62">
        <f t="shared" ref="AI77" si="299">AD77*1.05</f>
        <v>0.18629265525477709</v>
      </c>
      <c r="AJ77" s="62">
        <f t="shared" ref="AJ77" si="300">AE77*1.05</f>
        <v>0.20095699163617353</v>
      </c>
      <c r="AK77" s="62">
        <f t="shared" ref="AK77" si="301">AF77*1.05</f>
        <v>0.23857528876443826</v>
      </c>
      <c r="AL77" s="97"/>
      <c r="AM77" s="62">
        <f>AH77*1.05</f>
        <v>0.22987853425492985</v>
      </c>
      <c r="AN77" s="62">
        <f>AI77*1.05</f>
        <v>0.19560728801751595</v>
      </c>
      <c r="AO77" s="62">
        <f>AJ77*1.05</f>
        <v>0.21100484121798221</v>
      </c>
      <c r="AP77" s="62">
        <f>AK77*1.05</f>
        <v>0.25050405320266017</v>
      </c>
      <c r="AQ77" s="97"/>
      <c r="AR77" s="62">
        <f>AM77*1.03</f>
        <v>0.23677489028257775</v>
      </c>
      <c r="AS77" s="62">
        <f>AN77*1.03</f>
        <v>0.20147550665804143</v>
      </c>
      <c r="AT77" s="62">
        <f>AO77*1.03</f>
        <v>0.21733498645452168</v>
      </c>
      <c r="AU77" s="62">
        <f>AP77*1.03</f>
        <v>0.25801917479873998</v>
      </c>
      <c r="AV77" s="97"/>
    </row>
    <row r="78" spans="2:48" s="8" customFormat="1" outlineLevel="1" x14ac:dyDescent="0.3">
      <c r="B78" s="445" t="s">
        <v>116</v>
      </c>
      <c r="C78" s="446"/>
      <c r="D78" s="50">
        <v>1278.0999999999999</v>
      </c>
      <c r="E78" s="50">
        <v>1309.4000000000001</v>
      </c>
      <c r="F78" s="103">
        <v>1352.8</v>
      </c>
      <c r="G78" s="50">
        <v>1315.9</v>
      </c>
      <c r="H78" s="97">
        <f>SUM(D78:G78)</f>
        <v>5256.2000000000007</v>
      </c>
      <c r="I78" s="50">
        <v>1309.7</v>
      </c>
      <c r="J78" s="50">
        <v>902.4</v>
      </c>
      <c r="K78" s="103">
        <v>875.5</v>
      </c>
      <c r="L78" s="50">
        <v>1298.3</v>
      </c>
      <c r="M78" s="97">
        <f>SUM(I78:L78)</f>
        <v>4385.8999999999996</v>
      </c>
      <c r="N78" s="50">
        <v>1441.7</v>
      </c>
      <c r="O78" s="50">
        <v>1384.7</v>
      </c>
      <c r="P78" s="50">
        <v>1433.3</v>
      </c>
      <c r="Q78" s="103">
        <v>1610</v>
      </c>
      <c r="R78" s="97">
        <f>SUM(N78:Q78)</f>
        <v>5869.7</v>
      </c>
      <c r="S78" s="50">
        <v>1508.3</v>
      </c>
      <c r="T78" s="50">
        <v>1340.4</v>
      </c>
      <c r="U78" s="50">
        <v>1162.3</v>
      </c>
      <c r="V78" s="50">
        <f>V77*V76</f>
        <v>1414.1401470073504</v>
      </c>
      <c r="W78" s="132">
        <f>SUM(S78:V78)</f>
        <v>5425.1401470073506</v>
      </c>
      <c r="X78" s="50">
        <f>X77*X76</f>
        <v>1406.4639421969234</v>
      </c>
      <c r="Y78" s="50">
        <f>Y77*Y76</f>
        <v>1410.8394785031849</v>
      </c>
      <c r="Z78" s="50">
        <f>Z77*Z76</f>
        <v>1568.3759043387347</v>
      </c>
      <c r="AA78" s="50">
        <f>AA77*AA76</f>
        <v>1917.3663003150159</v>
      </c>
      <c r="AB78" s="97">
        <f>SUM(X78:AA78)</f>
        <v>6303.0456253538587</v>
      </c>
      <c r="AC78" s="50">
        <f>AC77*AC76</f>
        <v>1901.7887627566577</v>
      </c>
      <c r="AD78" s="50">
        <f>AD77*AD76</f>
        <v>1665.101494824841</v>
      </c>
      <c r="AE78" s="50">
        <f>AE77*AE76</f>
        <v>1846.6990593308938</v>
      </c>
      <c r="AF78" s="50">
        <f>AF77*AF76</f>
        <v>2252.8323696184812</v>
      </c>
      <c r="AG78" s="97">
        <f>SUM(AC78:AF78)</f>
        <v>7666.4216865308736</v>
      </c>
      <c r="AH78" s="50">
        <f>AH77*AH76</f>
        <v>2230.0407142102054</v>
      </c>
      <c r="AI78" s="50">
        <f>AI77*AI76</f>
        <v>1948.6211739649684</v>
      </c>
      <c r="AJ78" s="50">
        <f>AJ77*AJ76</f>
        <v>2157.0723482226867</v>
      </c>
      <c r="AK78" s="50">
        <f>AK77*AK76</f>
        <v>2626.4753540077008</v>
      </c>
      <c r="AL78" s="97">
        <f>SUM(AH78:AK78)</f>
        <v>8962.2095904055604</v>
      </c>
      <c r="AM78" s="50">
        <f>AM77*AM76</f>
        <v>2577.3981260662736</v>
      </c>
      <c r="AN78" s="50">
        <f>AN77*AN76</f>
        <v>2218.577860694666</v>
      </c>
      <c r="AO78" s="50">
        <f>AO77*AO76</f>
        <v>2420.6475384526921</v>
      </c>
      <c r="AP78" s="50">
        <f>AP77*AP76</f>
        <v>2906.3480252572631</v>
      </c>
      <c r="AQ78" s="97">
        <f>SUM(AM78:AP78)</f>
        <v>10122.971550470895</v>
      </c>
      <c r="AR78" s="50">
        <f>AR77*AR76</f>
        <v>2777.8430127952024</v>
      </c>
      <c r="AS78" s="50">
        <f>AS77*AS76</f>
        <v>2389.9024599776876</v>
      </c>
      <c r="AT78" s="50">
        <f>AT77*AT76</f>
        <v>2606.2811575626238</v>
      </c>
      <c r="AU78" s="50">
        <f>AU77*AU76</f>
        <v>3127.7084369103259</v>
      </c>
      <c r="AV78" s="97">
        <f>SUM(AR78:AU78)</f>
        <v>10901.73506724584</v>
      </c>
    </row>
    <row r="79" spans="2:48" s="8" customFormat="1" outlineLevel="1" x14ac:dyDescent="0.3">
      <c r="B79" s="38" t="s">
        <v>200</v>
      </c>
      <c r="C79" s="206"/>
      <c r="D79" s="43"/>
      <c r="E79" s="43"/>
      <c r="F79" s="43"/>
      <c r="G79" s="43"/>
      <c r="H79" s="97"/>
      <c r="I79" s="27">
        <f>I78/D78-1</f>
        <v>2.4724199984351936E-2</v>
      </c>
      <c r="J79" s="27">
        <f>J78/E78-1</f>
        <v>-0.31082938750572786</v>
      </c>
      <c r="K79" s="27">
        <f>K78/F78-1</f>
        <v>-0.35282377291543465</v>
      </c>
      <c r="L79" s="27">
        <f>L78/G78-1</f>
        <v>-1.3374876510373279E-2</v>
      </c>
      <c r="M79" s="97"/>
      <c r="N79" s="27">
        <f>N78/I78-1</f>
        <v>0.10078643964266631</v>
      </c>
      <c r="O79" s="27">
        <f>O78/J78-1</f>
        <v>0.53446365248226968</v>
      </c>
      <c r="P79" s="27">
        <f>P78/K78-1</f>
        <v>0.63712164477441457</v>
      </c>
      <c r="Q79" s="27">
        <f>Q78/L78-1</f>
        <v>0.24008318570438281</v>
      </c>
      <c r="R79" s="97"/>
      <c r="S79" s="27">
        <f t="shared" ref="S79:AP79" si="302">S78/N78-1</f>
        <v>4.6195463688700755E-2</v>
      </c>
      <c r="T79" s="27">
        <f t="shared" si="302"/>
        <v>-3.1992489347873132E-2</v>
      </c>
      <c r="U79" s="27">
        <f t="shared" si="302"/>
        <v>-0.18907416451545389</v>
      </c>
      <c r="V79" s="27">
        <f t="shared" si="302"/>
        <v>-0.12165208260413019</v>
      </c>
      <c r="W79" s="375">
        <f t="shared" si="302"/>
        <v>-7.5738087635253803E-2</v>
      </c>
      <c r="X79" s="27">
        <f t="shared" si="302"/>
        <v>-6.7517110523819257E-2</v>
      </c>
      <c r="Y79" s="27">
        <f t="shared" si="302"/>
        <v>5.2551088110403432E-2</v>
      </c>
      <c r="Z79" s="27">
        <f t="shared" si="302"/>
        <v>0.34937271301620476</v>
      </c>
      <c r="AA79" s="27">
        <f t="shared" si="302"/>
        <v>0.35585309869931159</v>
      </c>
      <c r="AB79" s="375">
        <f t="shared" si="302"/>
        <v>0.16182171419678149</v>
      </c>
      <c r="AC79" s="27">
        <f t="shared" si="302"/>
        <v>0.35217740441040202</v>
      </c>
      <c r="AD79" s="27">
        <f t="shared" si="302"/>
        <v>0.18022037247739386</v>
      </c>
      <c r="AE79" s="27">
        <f t="shared" si="302"/>
        <v>0.17745946888256148</v>
      </c>
      <c r="AF79" s="27">
        <f t="shared" si="302"/>
        <v>0.17496190959878111</v>
      </c>
      <c r="AG79" s="375">
        <f t="shared" si="302"/>
        <v>0.21630433003576321</v>
      </c>
      <c r="AH79" s="27">
        <f t="shared" si="302"/>
        <v>0.17260168841135859</v>
      </c>
      <c r="AI79" s="27">
        <f t="shared" si="302"/>
        <v>0.17027171017581244</v>
      </c>
      <c r="AJ79" s="27">
        <f t="shared" si="302"/>
        <v>0.1680692299720179</v>
      </c>
      <c r="AK79" s="27">
        <f t="shared" si="302"/>
        <v>0.16585476550680789</v>
      </c>
      <c r="AL79" s="375">
        <f t="shared" si="302"/>
        <v>0.16902121444105478</v>
      </c>
      <c r="AM79" s="27">
        <f t="shared" si="302"/>
        <v>0.15576281170233641</v>
      </c>
      <c r="AN79" s="27">
        <f t="shared" si="302"/>
        <v>0.13853728489483763</v>
      </c>
      <c r="AO79" s="27">
        <f t="shared" si="302"/>
        <v>0.12219116825041931</v>
      </c>
      <c r="AP79" s="27">
        <f t="shared" si="302"/>
        <v>0.10655827050594957</v>
      </c>
      <c r="AQ79" s="97"/>
      <c r="AR79" s="27">
        <f>AR78/AM78-1</f>
        <v>7.7770246164823531E-2</v>
      </c>
      <c r="AS79" s="27">
        <f>AS78/AN78-1</f>
        <v>7.7222712043731212E-2</v>
      </c>
      <c r="AT79" s="27">
        <f>AT78/AO78-1</f>
        <v>7.6687587168758675E-2</v>
      </c>
      <c r="AU79" s="27">
        <f>AU78/AP78-1</f>
        <v>7.6164454404413107E-2</v>
      </c>
      <c r="AV79" s="97"/>
    </row>
    <row r="80" spans="2:48" outlineLevel="1" x14ac:dyDescent="0.3">
      <c r="B80" s="236" t="s">
        <v>44</v>
      </c>
      <c r="C80" s="221"/>
      <c r="D80" s="222">
        <v>0.01</v>
      </c>
      <c r="E80" s="222">
        <v>0</v>
      </c>
      <c r="F80" s="222">
        <v>0.01</v>
      </c>
      <c r="G80" s="222">
        <v>0.01</v>
      </c>
      <c r="H80" s="223"/>
      <c r="I80" s="222">
        <v>-0.01</v>
      </c>
      <c r="J80" s="222">
        <v>-0.32</v>
      </c>
      <c r="K80" s="222">
        <v>-0.44</v>
      </c>
      <c r="L80" s="224">
        <v>-0.15</v>
      </c>
      <c r="M80" s="223"/>
      <c r="N80" s="222">
        <v>-0.03</v>
      </c>
      <c r="O80" s="222">
        <v>0.26</v>
      </c>
      <c r="P80" s="222">
        <v>0.55000000000000004</v>
      </c>
      <c r="Q80" s="222">
        <v>0.06</v>
      </c>
      <c r="R80" s="225"/>
      <c r="S80" s="224">
        <v>0.02</v>
      </c>
      <c r="T80" s="224">
        <v>-0.03</v>
      </c>
      <c r="U80" s="224">
        <v>-0.18</v>
      </c>
      <c r="V80" s="224"/>
      <c r="W80" s="223"/>
      <c r="X80" s="224"/>
      <c r="Y80" s="224"/>
      <c r="Z80" s="224"/>
      <c r="AA80" s="224"/>
      <c r="AB80" s="225"/>
      <c r="AC80" s="224"/>
      <c r="AD80" s="224"/>
      <c r="AE80" s="224"/>
      <c r="AF80" s="224"/>
      <c r="AG80" s="225"/>
      <c r="AH80" s="224"/>
      <c r="AI80" s="224"/>
      <c r="AJ80" s="224"/>
      <c r="AK80" s="224"/>
      <c r="AL80" s="225"/>
      <c r="AM80" s="224"/>
      <c r="AN80" s="224"/>
      <c r="AO80" s="224"/>
      <c r="AP80" s="224"/>
      <c r="AQ80" s="225"/>
      <c r="AR80" s="224"/>
      <c r="AS80" s="224"/>
      <c r="AT80" s="224"/>
      <c r="AU80" s="224"/>
      <c r="AV80" s="225"/>
    </row>
    <row r="81" spans="1:48" outlineLevel="1" x14ac:dyDescent="0.3">
      <c r="B81" s="180" t="s">
        <v>43</v>
      </c>
      <c r="C81" s="207"/>
      <c r="D81" s="151">
        <v>0.01</v>
      </c>
      <c r="E81" s="151">
        <v>0.02</v>
      </c>
      <c r="F81" s="151">
        <v>0.03</v>
      </c>
      <c r="G81" s="151">
        <v>0.03</v>
      </c>
      <c r="H81" s="60"/>
      <c r="I81" s="151">
        <v>0.02</v>
      </c>
      <c r="J81" s="151">
        <v>0.01</v>
      </c>
      <c r="K81" s="151">
        <v>0.13</v>
      </c>
      <c r="L81" s="59">
        <v>7.0000000000000007E-2</v>
      </c>
      <c r="M81" s="60"/>
      <c r="N81" s="151">
        <v>-0.1</v>
      </c>
      <c r="O81" s="59">
        <v>7.0000000000000007E-2</v>
      </c>
      <c r="P81" s="59">
        <v>-0.09</v>
      </c>
      <c r="Q81" s="151">
        <v>-0.02</v>
      </c>
      <c r="R81" s="60"/>
      <c r="S81" s="59">
        <v>-0.05</v>
      </c>
      <c r="T81" s="59">
        <v>-0.05</v>
      </c>
      <c r="U81" s="59">
        <v>-0.15</v>
      </c>
      <c r="V81" s="59"/>
      <c r="W81" s="148"/>
      <c r="X81" s="59"/>
      <c r="Y81" s="59"/>
      <c r="Z81" s="59"/>
      <c r="AA81" s="59"/>
      <c r="AB81" s="60"/>
      <c r="AC81" s="59"/>
      <c r="AD81" s="59"/>
      <c r="AE81" s="59"/>
      <c r="AF81" s="59"/>
      <c r="AG81" s="60"/>
      <c r="AH81" s="59"/>
      <c r="AI81" s="59"/>
      <c r="AJ81" s="59"/>
      <c r="AK81" s="59"/>
      <c r="AL81" s="60"/>
      <c r="AM81" s="59"/>
      <c r="AN81" s="59"/>
      <c r="AO81" s="59"/>
      <c r="AP81" s="59"/>
      <c r="AQ81" s="60"/>
      <c r="AR81" s="59"/>
      <c r="AS81" s="59"/>
      <c r="AT81" s="59"/>
      <c r="AU81" s="59"/>
      <c r="AV81" s="60"/>
    </row>
    <row r="82" spans="1:48" s="8" customFormat="1" outlineLevel="1" x14ac:dyDescent="0.3">
      <c r="B82" s="208" t="s">
        <v>45</v>
      </c>
      <c r="C82" s="206"/>
      <c r="D82" s="152">
        <v>0.02</v>
      </c>
      <c r="E82" s="152">
        <v>0.02</v>
      </c>
      <c r="F82" s="152">
        <v>0.05</v>
      </c>
      <c r="G82" s="152">
        <v>0.03</v>
      </c>
      <c r="H82" s="61"/>
      <c r="I82" s="152">
        <v>0.01</v>
      </c>
      <c r="J82" s="152">
        <v>-0.31</v>
      </c>
      <c r="K82" s="152">
        <v>-0.37</v>
      </c>
      <c r="L82" s="157">
        <v>-0.1</v>
      </c>
      <c r="M82" s="61"/>
      <c r="N82" s="152">
        <v>0.08</v>
      </c>
      <c r="O82" s="152">
        <v>0.35</v>
      </c>
      <c r="P82" s="152">
        <v>0.41</v>
      </c>
      <c r="Q82" s="152">
        <v>0.03</v>
      </c>
      <c r="R82" s="377">
        <f>R92/M92-1</f>
        <v>0.32353965857623956</v>
      </c>
      <c r="S82" s="152">
        <v>-0.03</v>
      </c>
      <c r="T82" s="152">
        <v>-0.08</v>
      </c>
      <c r="U82" s="152">
        <v>-0.04</v>
      </c>
      <c r="V82" s="152"/>
      <c r="W82" s="377">
        <f>W92/R92-1</f>
        <v>2.1698124630008753E-2</v>
      </c>
      <c r="X82" s="157"/>
      <c r="Y82" s="157"/>
      <c r="Z82" s="157"/>
      <c r="AA82" s="157"/>
      <c r="AB82" s="377">
        <f>AB92/W92-1</f>
        <v>0.18596828727514603</v>
      </c>
      <c r="AC82" s="157"/>
      <c r="AD82" s="157"/>
      <c r="AE82" s="157"/>
      <c r="AF82" s="157"/>
      <c r="AG82" s="377">
        <f>AG92/AB92-1</f>
        <v>0.19889504341978603</v>
      </c>
      <c r="AH82" s="157"/>
      <c r="AI82" s="157"/>
      <c r="AJ82" s="157"/>
      <c r="AK82" s="157"/>
      <c r="AL82" s="377">
        <f>AL92/AG92-1</f>
        <v>0.16298126736888419</v>
      </c>
      <c r="AM82" s="157"/>
      <c r="AN82" s="157"/>
      <c r="AO82" s="157"/>
      <c r="AP82" s="157">
        <v>0.04</v>
      </c>
      <c r="AQ82" s="134"/>
      <c r="AR82" s="157"/>
      <c r="AS82" s="157"/>
      <c r="AT82" s="157"/>
      <c r="AU82" s="157">
        <v>0.04</v>
      </c>
      <c r="AV82" s="61"/>
    </row>
    <row r="83" spans="1:48" s="8" customFormat="1" outlineLevel="1" x14ac:dyDescent="0.3">
      <c r="B83" s="451" t="s">
        <v>117</v>
      </c>
      <c r="C83" s="452"/>
      <c r="D83" s="117">
        <v>6373</v>
      </c>
      <c r="E83" s="117">
        <v>6586</v>
      </c>
      <c r="F83" s="117">
        <v>7127</v>
      </c>
      <c r="G83" s="117">
        <v>7329</v>
      </c>
      <c r="H83" s="192">
        <f>G83</f>
        <v>7329</v>
      </c>
      <c r="I83" s="117">
        <v>7533</v>
      </c>
      <c r="J83" s="117">
        <v>7642</v>
      </c>
      <c r="K83" s="117">
        <v>7691</v>
      </c>
      <c r="L83" s="117">
        <v>9735</v>
      </c>
      <c r="M83" s="192">
        <f>L83</f>
        <v>9735</v>
      </c>
      <c r="N83" s="117">
        <v>7917</v>
      </c>
      <c r="O83" s="67">
        <f>+N83+O84</f>
        <v>7987</v>
      </c>
      <c r="P83" s="67">
        <f t="shared" ref="P83" si="303">+O83+P84</f>
        <v>8107</v>
      </c>
      <c r="Q83" s="67">
        <v>9735</v>
      </c>
      <c r="R83" s="192">
        <f>Q83</f>
        <v>9735</v>
      </c>
      <c r="S83" s="67">
        <f>+Q83+S84</f>
        <v>9944</v>
      </c>
      <c r="T83" s="67">
        <f>+S83+T84</f>
        <v>10117</v>
      </c>
      <c r="U83" s="67">
        <f t="shared" ref="U83:V83" si="304">+T83+U84</f>
        <v>10181</v>
      </c>
      <c r="V83" s="67">
        <f t="shared" si="304"/>
        <v>10331</v>
      </c>
      <c r="W83" s="253">
        <f>V83</f>
        <v>10331</v>
      </c>
      <c r="X83" s="67">
        <f>+V83+X84</f>
        <v>10567</v>
      </c>
      <c r="Y83" s="67">
        <f>+X83+Y84</f>
        <v>10803</v>
      </c>
      <c r="Z83" s="67">
        <f t="shared" ref="Z83:AA83" si="305">+Y83+Z84</f>
        <v>11039</v>
      </c>
      <c r="AA83" s="67">
        <f t="shared" si="305"/>
        <v>11277</v>
      </c>
      <c r="AB83" s="192">
        <f>AA83</f>
        <v>11277</v>
      </c>
      <c r="AC83" s="67">
        <f>+AA83+AC84</f>
        <v>11521</v>
      </c>
      <c r="AD83" s="67">
        <f>+AC83+AD84</f>
        <v>11765</v>
      </c>
      <c r="AE83" s="67">
        <f t="shared" ref="AE83" si="306">+AD83+AE84</f>
        <v>12009</v>
      </c>
      <c r="AF83" s="67">
        <f t="shared" ref="AF83" si="307">+AE83+AF84</f>
        <v>12255</v>
      </c>
      <c r="AG83" s="192">
        <f>AF83</f>
        <v>12255</v>
      </c>
      <c r="AH83" s="67">
        <f>+AF83+AH84</f>
        <v>12508</v>
      </c>
      <c r="AI83" s="67">
        <f>+AH83+AI84</f>
        <v>12761</v>
      </c>
      <c r="AJ83" s="67">
        <f t="shared" ref="AJ83" si="308">+AI83+AJ84</f>
        <v>13014</v>
      </c>
      <c r="AK83" s="67">
        <f t="shared" ref="AK83" si="309">+AJ83+AK84</f>
        <v>13268</v>
      </c>
      <c r="AL83" s="192">
        <f>AK83</f>
        <v>13268</v>
      </c>
      <c r="AM83" s="67">
        <f>+AK83+AM84</f>
        <v>13332</v>
      </c>
      <c r="AN83" s="67">
        <f>+AM83+AN84</f>
        <v>13396</v>
      </c>
      <c r="AO83" s="67">
        <f t="shared" ref="AO83" si="310">+AN83+AO84</f>
        <v>13460</v>
      </c>
      <c r="AP83" s="67">
        <f t="shared" ref="AP83" si="311">+AO83+AP84</f>
        <v>13524</v>
      </c>
      <c r="AQ83" s="192">
        <f>AP83</f>
        <v>13524</v>
      </c>
      <c r="AR83" s="67">
        <f>+AP83+AR84</f>
        <v>13588</v>
      </c>
      <c r="AS83" s="67">
        <f>+AR83+AS84</f>
        <v>13652</v>
      </c>
      <c r="AT83" s="67">
        <f t="shared" ref="AT83" si="312">+AS83+AT84</f>
        <v>13716</v>
      </c>
      <c r="AU83" s="67">
        <f t="shared" ref="AU83" si="313">+AT83+AU84</f>
        <v>13780</v>
      </c>
      <c r="AV83" s="192">
        <f>AU83</f>
        <v>13780</v>
      </c>
    </row>
    <row r="84" spans="1:48" outlineLevel="1" x14ac:dyDescent="0.3">
      <c r="B84" s="180" t="s">
        <v>47</v>
      </c>
      <c r="C84" s="201"/>
      <c r="D84" s="101">
        <f>+D83-6201</f>
        <v>172</v>
      </c>
      <c r="E84" s="101">
        <f>+E83-D83</f>
        <v>213</v>
      </c>
      <c r="F84" s="101">
        <f t="shared" ref="F84:G84" si="314">+F83-E83</f>
        <v>541</v>
      </c>
      <c r="G84" s="101">
        <f t="shared" si="314"/>
        <v>202</v>
      </c>
      <c r="H84" s="122">
        <f>+SUM(D84:G84)</f>
        <v>1128</v>
      </c>
      <c r="I84" s="101">
        <f>+I83-G83</f>
        <v>204</v>
      </c>
      <c r="J84" s="101">
        <f t="shared" ref="J84:K84" si="315">+J83-I83</f>
        <v>109</v>
      </c>
      <c r="K84" s="101">
        <f t="shared" si="315"/>
        <v>49</v>
      </c>
      <c r="L84" s="101">
        <v>82</v>
      </c>
      <c r="M84" s="122">
        <f>+SUM(I84:L84)</f>
        <v>444</v>
      </c>
      <c r="N84" s="101">
        <v>139</v>
      </c>
      <c r="O84" s="101">
        <v>70</v>
      </c>
      <c r="P84" s="101">
        <v>120</v>
      </c>
      <c r="Q84" s="101">
        <v>205</v>
      </c>
      <c r="R84" s="122">
        <f>+SUM(N84:Q84)</f>
        <v>534</v>
      </c>
      <c r="S84" s="101">
        <v>209</v>
      </c>
      <c r="T84" s="101">
        <v>173</v>
      </c>
      <c r="U84" s="101">
        <v>64</v>
      </c>
      <c r="V84" s="33">
        <v>150</v>
      </c>
      <c r="W84" s="122">
        <f>+SUM(S84:V84)</f>
        <v>596</v>
      </c>
      <c r="X84" s="33">
        <v>236</v>
      </c>
      <c r="Y84" s="33">
        <v>236</v>
      </c>
      <c r="Z84" s="33">
        <v>236</v>
      </c>
      <c r="AA84" s="33">
        <v>238</v>
      </c>
      <c r="AB84" s="122">
        <f>+SUM(X84:AA84)</f>
        <v>946</v>
      </c>
      <c r="AC84" s="33">
        <v>244</v>
      </c>
      <c r="AD84" s="33">
        <v>244</v>
      </c>
      <c r="AE84" s="33">
        <v>244</v>
      </c>
      <c r="AF84" s="33">
        <v>246</v>
      </c>
      <c r="AG84" s="122">
        <f>+SUM(AC84:AF84)</f>
        <v>978</v>
      </c>
      <c r="AH84" s="33">
        <v>253</v>
      </c>
      <c r="AI84" s="33">
        <v>253</v>
      </c>
      <c r="AJ84" s="33">
        <v>253</v>
      </c>
      <c r="AK84" s="33">
        <v>254</v>
      </c>
      <c r="AL84" s="122">
        <f>+SUM(AH84:AK84)</f>
        <v>1013</v>
      </c>
      <c r="AM84" s="33">
        <v>64</v>
      </c>
      <c r="AN84" s="33">
        <v>64</v>
      </c>
      <c r="AO84" s="33">
        <v>64</v>
      </c>
      <c r="AP84" s="33">
        <v>64</v>
      </c>
      <c r="AQ84" s="122">
        <f>+SUM(AM84:AP84)</f>
        <v>256</v>
      </c>
      <c r="AR84" s="33">
        <v>64</v>
      </c>
      <c r="AS84" s="33">
        <v>64</v>
      </c>
      <c r="AT84" s="33">
        <v>64</v>
      </c>
      <c r="AU84" s="33">
        <v>64</v>
      </c>
      <c r="AV84" s="122">
        <f>+SUM(AR84:AU84)</f>
        <v>256</v>
      </c>
    </row>
    <row r="85" spans="1:48" outlineLevel="1" x14ac:dyDescent="0.3">
      <c r="B85" s="180" t="s">
        <v>49</v>
      </c>
      <c r="C85" s="201"/>
      <c r="D85" s="16">
        <f>AVERAGE(D83,6201)</f>
        <v>6287</v>
      </c>
      <c r="E85" s="16">
        <f>AVERAGE(E83,D83)</f>
        <v>6479.5</v>
      </c>
      <c r="F85" s="16">
        <f t="shared" ref="F85:G85" si="316">AVERAGE(F83,E83)</f>
        <v>6856.5</v>
      </c>
      <c r="G85" s="16">
        <f t="shared" si="316"/>
        <v>7228</v>
      </c>
      <c r="H85" s="26"/>
      <c r="I85" s="16">
        <f>AVERAGE(I83,G83)</f>
        <v>7431</v>
      </c>
      <c r="J85" s="16">
        <f>AVERAGE(J83,I83)</f>
        <v>7587.5</v>
      </c>
      <c r="K85" s="16">
        <f t="shared" ref="K85:L85" si="317">AVERAGE(K83,J83)</f>
        <v>7666.5</v>
      </c>
      <c r="L85" s="16">
        <f t="shared" si="317"/>
        <v>8713</v>
      </c>
      <c r="M85" s="6"/>
      <c r="N85" s="16">
        <f>AVERAGE(N83,L83)</f>
        <v>8826</v>
      </c>
      <c r="O85" s="16">
        <f>AVERAGE(O83,N83)</f>
        <v>7952</v>
      </c>
      <c r="P85" s="16">
        <f t="shared" ref="P85:Q85" si="318">AVERAGE(P83,O83)</f>
        <v>8047</v>
      </c>
      <c r="Q85" s="16">
        <f t="shared" si="318"/>
        <v>8921</v>
      </c>
      <c r="R85" s="6"/>
      <c r="S85" s="16">
        <f>AVERAGE(S83,Q83)</f>
        <v>9839.5</v>
      </c>
      <c r="T85" s="16">
        <f>AVERAGE(T83,S83)</f>
        <v>10030.5</v>
      </c>
      <c r="U85" s="16">
        <f t="shared" ref="U85:V85" si="319">AVERAGE(U83,T83)</f>
        <v>10149</v>
      </c>
      <c r="V85" s="16">
        <f t="shared" si="319"/>
        <v>10256</v>
      </c>
      <c r="W85" s="130"/>
      <c r="X85" s="16">
        <f>AVERAGE(X83,V83)</f>
        <v>10449</v>
      </c>
      <c r="Y85" s="16">
        <f>AVERAGE(Y83,X83)</f>
        <v>10685</v>
      </c>
      <c r="Z85" s="16">
        <f t="shared" ref="Z85:AA85" si="320">AVERAGE(Z83,Y83)</f>
        <v>10921</v>
      </c>
      <c r="AA85" s="16">
        <f t="shared" si="320"/>
        <v>11158</v>
      </c>
      <c r="AB85" s="6"/>
      <c r="AC85" s="16">
        <f>AVERAGE(AC83,AA83)</f>
        <v>11399</v>
      </c>
      <c r="AD85" s="16">
        <f>AVERAGE(AD83,AC83)</f>
        <v>11643</v>
      </c>
      <c r="AE85" s="16">
        <f t="shared" ref="AE85" si="321">AVERAGE(AE83,AD83)</f>
        <v>11887</v>
      </c>
      <c r="AF85" s="16">
        <f t="shared" ref="AF85" si="322">AVERAGE(AF83,AE83)</f>
        <v>12132</v>
      </c>
      <c r="AG85" s="6"/>
      <c r="AH85" s="16">
        <f>AVERAGE(AH83,AF83)</f>
        <v>12381.5</v>
      </c>
      <c r="AI85" s="16">
        <f>AVERAGE(AI83,AH83)</f>
        <v>12634.5</v>
      </c>
      <c r="AJ85" s="16">
        <f t="shared" ref="AJ85" si="323">AVERAGE(AJ83,AI83)</f>
        <v>12887.5</v>
      </c>
      <c r="AK85" s="16">
        <f t="shared" ref="AK85" si="324">AVERAGE(AK83,AJ83)</f>
        <v>13141</v>
      </c>
      <c r="AL85" s="6"/>
      <c r="AM85" s="16">
        <f>AVERAGE(AM83,AK83)</f>
        <v>13300</v>
      </c>
      <c r="AN85" s="16">
        <f>AVERAGE(AN83,AM83)</f>
        <v>13364</v>
      </c>
      <c r="AO85" s="16">
        <f t="shared" ref="AO85" si="325">AVERAGE(AO83,AN83)</f>
        <v>13428</v>
      </c>
      <c r="AP85" s="16">
        <f t="shared" ref="AP85" si="326">AVERAGE(AP83,AO83)</f>
        <v>13492</v>
      </c>
      <c r="AQ85" s="6"/>
      <c r="AR85" s="16">
        <f>AVERAGE(AR83,AP83)</f>
        <v>13556</v>
      </c>
      <c r="AS85" s="16">
        <f>AVERAGE(AS83,AR83)</f>
        <v>13620</v>
      </c>
      <c r="AT85" s="16">
        <f t="shared" ref="AT85" si="327">AVERAGE(AT83,AS83)</f>
        <v>13684</v>
      </c>
      <c r="AU85" s="16">
        <f t="shared" ref="AU85" si="328">AVERAGE(AU83,AT83)</f>
        <v>13748</v>
      </c>
      <c r="AV85" s="6"/>
    </row>
    <row r="86" spans="1:48" outlineLevel="1" x14ac:dyDescent="0.3">
      <c r="B86" s="180" t="s">
        <v>48</v>
      </c>
      <c r="C86" s="201"/>
      <c r="D86" s="43">
        <f>+D87/D85</f>
        <v>3.5390488309209482E-2</v>
      </c>
      <c r="E86" s="114">
        <f>+E87/E85</f>
        <v>3.3197005941816495E-2</v>
      </c>
      <c r="F86" s="114">
        <f>+F87/F85</f>
        <v>3.335521038430686E-2</v>
      </c>
      <c r="G86" s="114">
        <f>+G87/G85</f>
        <v>3.468456004427227E-2</v>
      </c>
      <c r="H86" s="26"/>
      <c r="I86" s="114">
        <f t="shared" ref="I86:S86" si="329">+I87/I85</f>
        <v>3.4275333064190554E-2</v>
      </c>
      <c r="J86" s="114">
        <f t="shared" si="329"/>
        <v>2.97331136738056E-2</v>
      </c>
      <c r="K86" s="114">
        <f t="shared" si="329"/>
        <v>8.4784451835909474E-3</v>
      </c>
      <c r="L86" s="114">
        <f t="shared" si="329"/>
        <v>2.3837943303110294E-2</v>
      </c>
      <c r="M86" s="6"/>
      <c r="N86" s="114">
        <f t="shared" si="329"/>
        <v>2.2388397915250397E-2</v>
      </c>
      <c r="O86" s="114">
        <f t="shared" si="329"/>
        <v>2.5251509054325959E-2</v>
      </c>
      <c r="P86" s="114">
        <f t="shared" si="329"/>
        <v>2.6307940847520812E-2</v>
      </c>
      <c r="Q86" s="114">
        <f t="shared" si="329"/>
        <v>3.228337630310503E-2</v>
      </c>
      <c r="R86" s="6"/>
      <c r="S86" s="114">
        <f t="shared" si="329"/>
        <v>3.4036282331419275E-2</v>
      </c>
      <c r="T86" s="114">
        <f>+T87/T85</f>
        <v>3.4145855141817456E-2</v>
      </c>
      <c r="U86" s="114">
        <f>+U87/U85</f>
        <v>4.065425165040891E-2</v>
      </c>
      <c r="V86" s="62">
        <f>Q86*1.2</f>
        <v>3.8740051563726036E-2</v>
      </c>
      <c r="W86" s="130"/>
      <c r="X86" s="62">
        <f>S86*1.2</f>
        <v>4.0843538797703131E-2</v>
      </c>
      <c r="Y86" s="62">
        <f>T86*1.2</f>
        <v>4.0975026170180943E-2</v>
      </c>
      <c r="Z86" s="62">
        <f>U86*1.2</f>
        <v>4.8785101980490693E-2</v>
      </c>
      <c r="AA86" s="62">
        <f>V86*1.2</f>
        <v>4.648806187647124E-2</v>
      </c>
      <c r="AB86" s="6"/>
      <c r="AC86" s="62">
        <f>X86*1.05</f>
        <v>4.2885715737588287E-2</v>
      </c>
      <c r="AD86" s="62">
        <f>Y86*1.05</f>
        <v>4.302377747868999E-2</v>
      </c>
      <c r="AE86" s="62">
        <f>Z86*1.05</f>
        <v>5.1224357079515233E-2</v>
      </c>
      <c r="AF86" s="62">
        <f>AA86*1.05</f>
        <v>4.8812464970294803E-2</v>
      </c>
      <c r="AG86" s="6"/>
      <c r="AH86" s="62">
        <f>AC86*1.05</f>
        <v>4.5030001524467705E-2</v>
      </c>
      <c r="AI86" s="62">
        <f t="shared" ref="AI86:AK86" si="330">AD86*1.05</f>
        <v>4.5174966352624489E-2</v>
      </c>
      <c r="AJ86" s="62">
        <f t="shared" si="330"/>
        <v>5.3785574933490995E-2</v>
      </c>
      <c r="AK86" s="62">
        <f t="shared" si="330"/>
        <v>5.1253088218809542E-2</v>
      </c>
      <c r="AL86" s="6"/>
      <c r="AM86" s="62">
        <f>AH86*1.05</f>
        <v>4.7281501600691091E-2</v>
      </c>
      <c r="AN86" s="62">
        <f>AI86*1.05</f>
        <v>4.7433714670255714E-2</v>
      </c>
      <c r="AO86" s="62">
        <f>AJ86*1.05</f>
        <v>5.6474853680165547E-2</v>
      </c>
      <c r="AP86" s="62">
        <f>AK86*1.05</f>
        <v>5.3815742629750023E-2</v>
      </c>
      <c r="AQ86" s="6"/>
      <c r="AR86" s="62">
        <f>AM86*1.03</f>
        <v>4.8699946648711821E-2</v>
      </c>
      <c r="AS86" s="62">
        <f>AN86*1.03</f>
        <v>4.8856726110363388E-2</v>
      </c>
      <c r="AT86" s="62">
        <f>AO86*1.03</f>
        <v>5.8169099290570514E-2</v>
      </c>
      <c r="AU86" s="62">
        <f>AP86*1.03</f>
        <v>5.5430214908642528E-2</v>
      </c>
      <c r="AV86" s="6"/>
    </row>
    <row r="87" spans="1:48" s="8" customFormat="1" outlineLevel="1" x14ac:dyDescent="0.3">
      <c r="B87" s="453" t="s">
        <v>118</v>
      </c>
      <c r="C87" s="454"/>
      <c r="D87" s="115">
        <v>222.5</v>
      </c>
      <c r="E87" s="115">
        <v>215.1</v>
      </c>
      <c r="F87" s="115">
        <v>228.7</v>
      </c>
      <c r="G87" s="115">
        <v>250.7</v>
      </c>
      <c r="H87" s="73">
        <f>SUM(D87:G87)</f>
        <v>917</v>
      </c>
      <c r="I87" s="115">
        <v>254.7</v>
      </c>
      <c r="J87" s="115">
        <v>225.6</v>
      </c>
      <c r="K87" s="115">
        <v>65</v>
      </c>
      <c r="L87" s="72">
        <v>207.7</v>
      </c>
      <c r="M87" s="73">
        <f>SUM(I87:L87)</f>
        <v>753</v>
      </c>
      <c r="N87" s="72">
        <v>197.6</v>
      </c>
      <c r="O87" s="72">
        <v>200.8</v>
      </c>
      <c r="P87" s="72">
        <v>211.7</v>
      </c>
      <c r="Q87" s="115">
        <v>288</v>
      </c>
      <c r="R87" s="73">
        <f>SUM(N87:Q87)</f>
        <v>898.09999999999991</v>
      </c>
      <c r="S87" s="72">
        <v>334.9</v>
      </c>
      <c r="T87" s="72">
        <v>342.5</v>
      </c>
      <c r="U87" s="72">
        <v>412.6</v>
      </c>
      <c r="V87" s="72">
        <f t="shared" ref="V87" si="331">+V85*V86</f>
        <v>397.3179688375742</v>
      </c>
      <c r="W87" s="213">
        <f>SUM(S87:V87)</f>
        <v>1487.3179688375742</v>
      </c>
      <c r="X87" s="72">
        <f>+X85*X86</f>
        <v>426.77413689720004</v>
      </c>
      <c r="Y87" s="72">
        <f>+Y85*Y86</f>
        <v>437.81815462838335</v>
      </c>
      <c r="Z87" s="72">
        <f t="shared" ref="Z87:AA87" si="332">+Z85*Z86</f>
        <v>532.78209872893888</v>
      </c>
      <c r="AA87" s="72">
        <f t="shared" si="332"/>
        <v>518.71379441766612</v>
      </c>
      <c r="AB87" s="73">
        <f>SUM(X87:AA87)</f>
        <v>1916.0881846721884</v>
      </c>
      <c r="AC87" s="72">
        <f>+AC85*AC86</f>
        <v>488.85427369276886</v>
      </c>
      <c r="AD87" s="72">
        <f>+AD85*AD86</f>
        <v>500.92584118438754</v>
      </c>
      <c r="AE87" s="72">
        <f t="shared" ref="AE87:AF87" si="333">+AE85*AE86</f>
        <v>608.90393260419762</v>
      </c>
      <c r="AF87" s="72">
        <f t="shared" si="333"/>
        <v>592.19282501961652</v>
      </c>
      <c r="AG87" s="73">
        <f>SUM(AC87:AF87)</f>
        <v>2190.8768725009704</v>
      </c>
      <c r="AH87" s="72">
        <f>+AH85*AH86</f>
        <v>557.53896387519694</v>
      </c>
      <c r="AI87" s="72">
        <f>+AI85*AI86</f>
        <v>570.76311238223411</v>
      </c>
      <c r="AJ87" s="72">
        <f t="shared" ref="AJ87:AK87" si="334">+AJ85*AJ86</f>
        <v>693.16159695536521</v>
      </c>
      <c r="AK87" s="72">
        <f t="shared" si="334"/>
        <v>673.51683228337617</v>
      </c>
      <c r="AL87" s="73">
        <f>SUM(AH87:AK87)</f>
        <v>2494.9805054961726</v>
      </c>
      <c r="AM87" s="72">
        <f>+AM85*AM86</f>
        <v>628.84397128919147</v>
      </c>
      <c r="AN87" s="72">
        <f>+AN85*AN86</f>
        <v>633.90416285329741</v>
      </c>
      <c r="AO87" s="72">
        <f t="shared" ref="AO87:AP87" si="335">+AO85*AO86</f>
        <v>758.34433521726294</v>
      </c>
      <c r="AP87" s="72">
        <f t="shared" si="335"/>
        <v>726.08199956058729</v>
      </c>
      <c r="AQ87" s="73">
        <f>SUM(AM87:AP87)</f>
        <v>2747.1744689203388</v>
      </c>
      <c r="AR87" s="72">
        <f>+AR85*AR86</f>
        <v>660.17647676993749</v>
      </c>
      <c r="AS87" s="72">
        <f>+AS85*AS86</f>
        <v>665.42860962314933</v>
      </c>
      <c r="AT87" s="72">
        <f t="shared" ref="AT87:AU87" si="336">+AT85*AT86</f>
        <v>795.98595469216696</v>
      </c>
      <c r="AU87" s="72">
        <f t="shared" si="336"/>
        <v>762.05459456401752</v>
      </c>
      <c r="AV87" s="73">
        <f>SUM(AR87:AU87)</f>
        <v>2883.6456356492713</v>
      </c>
    </row>
    <row r="88" spans="1:48" s="8" customFormat="1" outlineLevel="1" x14ac:dyDescent="0.3">
      <c r="B88" s="445" t="s">
        <v>119</v>
      </c>
      <c r="C88" s="446"/>
      <c r="D88" s="103">
        <v>3.4</v>
      </c>
      <c r="E88" s="103">
        <v>4.9000000000000004</v>
      </c>
      <c r="F88" s="103">
        <v>3.8</v>
      </c>
      <c r="G88" s="103">
        <v>5.5</v>
      </c>
      <c r="H88" s="97">
        <f>SUM(D88:G88)</f>
        <v>17.600000000000001</v>
      </c>
      <c r="I88" s="103">
        <v>6.7</v>
      </c>
      <c r="J88" s="103">
        <v>6.6</v>
      </c>
      <c r="K88" s="103">
        <v>9.1</v>
      </c>
      <c r="L88" s="50">
        <v>5.3</v>
      </c>
      <c r="M88" s="97">
        <f>SUM(I88:L88)</f>
        <v>27.7</v>
      </c>
      <c r="N88" s="50">
        <v>15</v>
      </c>
      <c r="O88" s="50">
        <v>25.4</v>
      </c>
      <c r="P88" s="50">
        <v>13.4</v>
      </c>
      <c r="Q88" s="103">
        <v>16.600000000000001</v>
      </c>
      <c r="R88" s="97">
        <f>SUM(N88:Q88)</f>
        <v>70.400000000000006</v>
      </c>
      <c r="S88" s="50">
        <v>32.700000000000003</v>
      </c>
      <c r="T88" s="50">
        <v>19.5</v>
      </c>
      <c r="U88" s="50">
        <v>9.8000000000000007</v>
      </c>
      <c r="V88" s="50">
        <f t="shared" ref="V88" si="337">+Q88*(1+V89)</f>
        <v>12.118</v>
      </c>
      <c r="W88" s="132">
        <f>SUM(S88:V88)</f>
        <v>74.117999999999995</v>
      </c>
      <c r="X88" s="50">
        <f>+S88*(1+X89)</f>
        <v>26.160000000000004</v>
      </c>
      <c r="Y88" s="50">
        <f>+T88*(1+Y89)</f>
        <v>17.55</v>
      </c>
      <c r="Z88" s="50">
        <f>+U88*(1+Z89)</f>
        <v>10.290000000000001</v>
      </c>
      <c r="AA88" s="50">
        <f t="shared" ref="AA88" si="338">+V88*(1+AA89)</f>
        <v>12.7239</v>
      </c>
      <c r="AB88" s="97">
        <f>SUM(X88:AA88)</f>
        <v>66.723900000000015</v>
      </c>
      <c r="AC88" s="50">
        <f>+X88*(1+AC89)</f>
        <v>28.776000000000007</v>
      </c>
      <c r="AD88" s="50">
        <f>+Y88*(1+AD89)</f>
        <v>20.182500000000001</v>
      </c>
      <c r="AE88" s="50">
        <f>+Z88*(1+AE89)</f>
        <v>12.348000000000001</v>
      </c>
      <c r="AF88" s="50">
        <f t="shared" ref="AF88" si="339">+AA88*(1+AF89)</f>
        <v>15.26868</v>
      </c>
      <c r="AG88" s="97">
        <f>SUM(AC88:AF88)</f>
        <v>76.575180000000003</v>
      </c>
      <c r="AH88" s="50">
        <f>+AC88*(1+AH89)</f>
        <v>35.970000000000006</v>
      </c>
      <c r="AI88" s="50">
        <f>+AD88*(1+AI89)</f>
        <v>25.228125000000002</v>
      </c>
      <c r="AJ88" s="50">
        <f>+AE88*(1+AJ89)</f>
        <v>15.435</v>
      </c>
      <c r="AK88" s="50">
        <f t="shared" ref="AK88" si="340">+AF88*(1+AK89)</f>
        <v>19.085850000000001</v>
      </c>
      <c r="AL88" s="97">
        <f>SUM(AH88:AK88)</f>
        <v>95.718975</v>
      </c>
      <c r="AM88" s="50">
        <f>+AH88*(1+AM89)</f>
        <v>39.567000000000007</v>
      </c>
      <c r="AN88" s="50">
        <f>+AI88*(1+AN89)</f>
        <v>27.750937500000006</v>
      </c>
      <c r="AO88" s="50">
        <f>+AJ88*(1+AO89)</f>
        <v>16.9785</v>
      </c>
      <c r="AP88" s="50">
        <f t="shared" ref="AP88" si="341">+AK88*(1+AP89)</f>
        <v>20.994435000000003</v>
      </c>
      <c r="AQ88" s="97">
        <f>SUM(AM88:AP88)</f>
        <v>105.29087250000001</v>
      </c>
      <c r="AR88" s="50">
        <f>+AM88*(1+AR89)</f>
        <v>41.545350000000006</v>
      </c>
      <c r="AS88" s="50">
        <f>+AN88*(1+AS89)</f>
        <v>29.138484375000008</v>
      </c>
      <c r="AT88" s="50">
        <f>+AO88*(1+AT89)</f>
        <v>17.827425000000002</v>
      </c>
      <c r="AU88" s="50">
        <f t="shared" ref="AU88" si="342">+AP88*(1+AU89)</f>
        <v>22.044156750000003</v>
      </c>
      <c r="AV88" s="97">
        <f>SUM(AR88:AU88)</f>
        <v>110.55541612500002</v>
      </c>
    </row>
    <row r="89" spans="1:48" outlineLevel="1" x14ac:dyDescent="0.3">
      <c r="B89" s="69" t="s">
        <v>50</v>
      </c>
      <c r="C89" s="70"/>
      <c r="D89" s="120"/>
      <c r="E89" s="120"/>
      <c r="F89" s="120"/>
      <c r="G89" s="120"/>
      <c r="H89" s="58"/>
      <c r="I89" s="120">
        <f>I88/D88-1</f>
        <v>0.97058823529411775</v>
      </c>
      <c r="J89" s="120">
        <f t="shared" ref="J89:L89" si="343">J88/E88-1</f>
        <v>0.3469387755102038</v>
      </c>
      <c r="K89" s="120">
        <f t="shared" si="343"/>
        <v>1.3947368421052633</v>
      </c>
      <c r="L89" s="120">
        <f t="shared" si="343"/>
        <v>-3.6363636363636376E-2</v>
      </c>
      <c r="M89" s="58"/>
      <c r="N89" s="120">
        <f>N88/I88-1</f>
        <v>1.2388059701492535</v>
      </c>
      <c r="O89" s="120">
        <f t="shared" ref="O89:Q89" si="344">O88/J88-1</f>
        <v>2.8484848484848486</v>
      </c>
      <c r="P89" s="120">
        <f t="shared" si="344"/>
        <v>0.47252747252747263</v>
      </c>
      <c r="Q89" s="120">
        <f t="shared" si="344"/>
        <v>2.1320754716981134</v>
      </c>
      <c r="R89" s="58"/>
      <c r="S89" s="120">
        <f>S88/N88-1</f>
        <v>1.1800000000000002</v>
      </c>
      <c r="T89" s="120">
        <f t="shared" ref="T89:U89" si="345">T88/O88-1</f>
        <v>-0.23228346456692905</v>
      </c>
      <c r="U89" s="120">
        <f t="shared" si="345"/>
        <v>-0.26865671641791045</v>
      </c>
      <c r="V89" s="71">
        <v>-0.27</v>
      </c>
      <c r="W89" s="155"/>
      <c r="X89" s="71">
        <v>-0.2</v>
      </c>
      <c r="Y89" s="71">
        <v>-0.1</v>
      </c>
      <c r="Z89" s="71">
        <v>0.05</v>
      </c>
      <c r="AA89" s="71">
        <v>0.05</v>
      </c>
      <c r="AB89" s="58"/>
      <c r="AC89" s="71">
        <v>0.1</v>
      </c>
      <c r="AD89" s="71">
        <v>0.15</v>
      </c>
      <c r="AE89" s="71">
        <v>0.2</v>
      </c>
      <c r="AF89" s="71">
        <v>0.2</v>
      </c>
      <c r="AG89" s="58"/>
      <c r="AH89" s="71">
        <v>0.25</v>
      </c>
      <c r="AI89" s="71">
        <v>0.25</v>
      </c>
      <c r="AJ89" s="71">
        <v>0.25</v>
      </c>
      <c r="AK89" s="71">
        <v>0.25</v>
      </c>
      <c r="AL89" s="58"/>
      <c r="AM89" s="71">
        <v>0.1</v>
      </c>
      <c r="AN89" s="71">
        <v>0.1</v>
      </c>
      <c r="AO89" s="71">
        <v>0.1</v>
      </c>
      <c r="AP89" s="71">
        <v>0.1</v>
      </c>
      <c r="AQ89" s="58"/>
      <c r="AR89" s="71">
        <v>0.05</v>
      </c>
      <c r="AS89" s="71">
        <v>0.05</v>
      </c>
      <c r="AT89" s="71">
        <v>0.05</v>
      </c>
      <c r="AU89" s="71">
        <v>0.05</v>
      </c>
      <c r="AV89" s="58"/>
    </row>
    <row r="90" spans="1:48" outlineLevel="1" x14ac:dyDescent="0.3">
      <c r="B90" s="180" t="s">
        <v>120</v>
      </c>
      <c r="C90" s="207"/>
      <c r="D90" s="101">
        <f t="shared" ref="D90:G91" si="346">+D83+D74</f>
        <v>12212</v>
      </c>
      <c r="E90" s="101">
        <f t="shared" si="346"/>
        <v>12465</v>
      </c>
      <c r="F90" s="101">
        <f t="shared" si="346"/>
        <v>12773</v>
      </c>
      <c r="G90" s="101">
        <f t="shared" si="346"/>
        <v>13189</v>
      </c>
      <c r="H90" s="6"/>
      <c r="I90" s="101">
        <f t="shared" ref="I90:L91" si="347">+I83+I74</f>
        <v>13592</v>
      </c>
      <c r="J90" s="101">
        <f t="shared" si="347"/>
        <v>13779</v>
      </c>
      <c r="K90" s="101">
        <f t="shared" si="347"/>
        <v>13945</v>
      </c>
      <c r="L90" s="16">
        <f t="shared" si="347"/>
        <v>16263</v>
      </c>
      <c r="M90" s="6"/>
      <c r="N90" s="16">
        <f t="shared" ref="N90:Q91" si="348">+N83+N74</f>
        <v>14630</v>
      </c>
      <c r="O90" s="16">
        <f t="shared" si="348"/>
        <v>14823</v>
      </c>
      <c r="P90" s="16">
        <f t="shared" si="348"/>
        <v>15120</v>
      </c>
      <c r="Q90" s="16">
        <f t="shared" si="348"/>
        <v>17007</v>
      </c>
      <c r="R90" s="6"/>
      <c r="S90" s="16">
        <f t="shared" ref="S90:V91" si="349">+S83+S74</f>
        <v>17429</v>
      </c>
      <c r="T90" s="16">
        <f t="shared" si="349"/>
        <v>17704</v>
      </c>
      <c r="U90" s="16">
        <f t="shared" si="349"/>
        <v>17898</v>
      </c>
      <c r="V90" s="16">
        <f t="shared" si="349"/>
        <v>18298</v>
      </c>
      <c r="W90" s="254">
        <f>W91/Q90</f>
        <v>7.5909919444934443E-2</v>
      </c>
      <c r="X90" s="16">
        <f t="shared" ref="X90:AA91" si="350">+X83+X74</f>
        <v>18789</v>
      </c>
      <c r="Y90" s="16">
        <f t="shared" si="350"/>
        <v>19280</v>
      </c>
      <c r="Z90" s="16">
        <f t="shared" si="350"/>
        <v>19771</v>
      </c>
      <c r="AA90" s="16">
        <f t="shared" si="350"/>
        <v>20266</v>
      </c>
      <c r="AB90" s="254">
        <f>AB91/V90</f>
        <v>0.10755273800415346</v>
      </c>
      <c r="AC90" s="16">
        <f t="shared" ref="AC90:AF90" si="351">+AC83+AC74</f>
        <v>20774</v>
      </c>
      <c r="AD90" s="16">
        <f t="shared" si="351"/>
        <v>21282</v>
      </c>
      <c r="AE90" s="16">
        <f t="shared" si="351"/>
        <v>21790</v>
      </c>
      <c r="AF90" s="16">
        <f t="shared" si="351"/>
        <v>22304</v>
      </c>
      <c r="AG90" s="254">
        <f>AG91/AA90</f>
        <v>0.10056251850389815</v>
      </c>
      <c r="AH90" s="16">
        <f t="shared" ref="AH90:AK90" si="352">+AH83+AH74</f>
        <v>22831</v>
      </c>
      <c r="AI90" s="16">
        <f t="shared" si="352"/>
        <v>23358</v>
      </c>
      <c r="AJ90" s="16">
        <f t="shared" si="352"/>
        <v>23885</v>
      </c>
      <c r="AK90" s="16">
        <f t="shared" si="352"/>
        <v>24415</v>
      </c>
      <c r="AL90" s="254">
        <f>AL91/AF90</f>
        <v>9.4646700143472026E-2</v>
      </c>
      <c r="AM90" s="16">
        <f t="shared" ref="AM90:AP90" si="353">+AM83+AM74</f>
        <v>24609</v>
      </c>
      <c r="AN90" s="16">
        <f t="shared" si="353"/>
        <v>24803</v>
      </c>
      <c r="AO90" s="16">
        <f t="shared" si="353"/>
        <v>24997</v>
      </c>
      <c r="AP90" s="16">
        <f t="shared" si="353"/>
        <v>25191</v>
      </c>
      <c r="AQ90" s="254">
        <f>AQ91/AK90</f>
        <v>3.1783739504403032E-2</v>
      </c>
      <c r="AR90" s="16">
        <f t="shared" ref="AR90:AU90" si="354">+AR83+AR74</f>
        <v>25385</v>
      </c>
      <c r="AS90" s="16">
        <f t="shared" si="354"/>
        <v>25579</v>
      </c>
      <c r="AT90" s="16">
        <f t="shared" si="354"/>
        <v>25773</v>
      </c>
      <c r="AU90" s="16">
        <f t="shared" si="354"/>
        <v>25967</v>
      </c>
      <c r="AV90" s="254">
        <f>AV91/AP90</f>
        <v>3.080465245524195E-2</v>
      </c>
    </row>
    <row r="91" spans="1:48" outlineLevel="1" x14ac:dyDescent="0.3">
      <c r="B91" s="180" t="s">
        <v>121</v>
      </c>
      <c r="C91" s="207"/>
      <c r="D91" s="101">
        <f t="shared" si="346"/>
        <v>360</v>
      </c>
      <c r="E91" s="101">
        <f t="shared" si="346"/>
        <v>253</v>
      </c>
      <c r="F91" s="101">
        <f t="shared" si="346"/>
        <v>308</v>
      </c>
      <c r="G91" s="101">
        <f t="shared" si="346"/>
        <v>416</v>
      </c>
      <c r="H91" s="122">
        <f>+H84+H75</f>
        <v>1337</v>
      </c>
      <c r="I91" s="101">
        <f t="shared" si="347"/>
        <v>403</v>
      </c>
      <c r="J91" s="101">
        <f t="shared" si="347"/>
        <v>187</v>
      </c>
      <c r="K91" s="101">
        <f t="shared" si="347"/>
        <v>166</v>
      </c>
      <c r="L91" s="101">
        <f t="shared" si="347"/>
        <v>356</v>
      </c>
      <c r="M91" s="122">
        <f>+M84+M75</f>
        <v>1112</v>
      </c>
      <c r="N91" s="101">
        <f t="shared" si="348"/>
        <v>324</v>
      </c>
      <c r="O91" s="101">
        <f t="shared" si="348"/>
        <v>193</v>
      </c>
      <c r="P91" s="101">
        <f t="shared" si="348"/>
        <v>297</v>
      </c>
      <c r="Q91" s="101">
        <f t="shared" si="348"/>
        <v>464</v>
      </c>
      <c r="R91" s="122">
        <f>+R84+R75</f>
        <v>1278</v>
      </c>
      <c r="S91" s="16">
        <f t="shared" si="349"/>
        <v>422</v>
      </c>
      <c r="T91" s="16">
        <f t="shared" si="349"/>
        <v>275</v>
      </c>
      <c r="U91" s="16">
        <f t="shared" si="349"/>
        <v>194</v>
      </c>
      <c r="V91" s="16">
        <f t="shared" si="349"/>
        <v>400</v>
      </c>
      <c r="W91" s="122">
        <f>+W84+W75</f>
        <v>1291</v>
      </c>
      <c r="X91" s="16">
        <f t="shared" si="350"/>
        <v>491</v>
      </c>
      <c r="Y91" s="16">
        <f t="shared" si="350"/>
        <v>491</v>
      </c>
      <c r="Z91" s="16">
        <f t="shared" si="350"/>
        <v>491</v>
      </c>
      <c r="AA91" s="16">
        <f t="shared" si="350"/>
        <v>495</v>
      </c>
      <c r="AB91" s="26">
        <f>+AB84+AB75</f>
        <v>1968</v>
      </c>
      <c r="AC91" s="16">
        <f t="shared" ref="AC91:AF91" si="355">+AC84+AC75</f>
        <v>508</v>
      </c>
      <c r="AD91" s="16">
        <f t="shared" si="355"/>
        <v>508</v>
      </c>
      <c r="AE91" s="16">
        <f t="shared" si="355"/>
        <v>508</v>
      </c>
      <c r="AF91" s="16">
        <f t="shared" si="355"/>
        <v>514</v>
      </c>
      <c r="AG91" s="26">
        <f>+AG84+AG75</f>
        <v>2038</v>
      </c>
      <c r="AH91" s="16">
        <f t="shared" ref="AH91:AK91" si="356">+AH84+AH75</f>
        <v>527</v>
      </c>
      <c r="AI91" s="16">
        <f t="shared" si="356"/>
        <v>527</v>
      </c>
      <c r="AJ91" s="16">
        <f t="shared" si="356"/>
        <v>527</v>
      </c>
      <c r="AK91" s="16">
        <f t="shared" si="356"/>
        <v>530</v>
      </c>
      <c r="AL91" s="26">
        <f>+AL84+AL75</f>
        <v>2111</v>
      </c>
      <c r="AM91" s="16">
        <f t="shared" ref="AM91:AP91" si="357">+AM84+AM75</f>
        <v>194</v>
      </c>
      <c r="AN91" s="16">
        <f t="shared" si="357"/>
        <v>194</v>
      </c>
      <c r="AO91" s="16">
        <f t="shared" si="357"/>
        <v>194</v>
      </c>
      <c r="AP91" s="16">
        <f t="shared" si="357"/>
        <v>194</v>
      </c>
      <c r="AQ91" s="26">
        <f>+AQ84+AQ75</f>
        <v>776</v>
      </c>
      <c r="AR91" s="16">
        <f t="shared" ref="AR91:AU91" si="358">+AR84+AR75</f>
        <v>194</v>
      </c>
      <c r="AS91" s="16">
        <f t="shared" si="358"/>
        <v>194</v>
      </c>
      <c r="AT91" s="16">
        <f t="shared" si="358"/>
        <v>194</v>
      </c>
      <c r="AU91" s="16">
        <f t="shared" si="358"/>
        <v>194</v>
      </c>
      <c r="AV91" s="26">
        <f>+AV84+AV75</f>
        <v>776</v>
      </c>
    </row>
    <row r="92" spans="1:48" outlineLevel="1" x14ac:dyDescent="0.3">
      <c r="B92" s="449" t="s">
        <v>122</v>
      </c>
      <c r="C92" s="450"/>
      <c r="D92" s="115">
        <f>+D88+D87+D78</f>
        <v>1504</v>
      </c>
      <c r="E92" s="115">
        <f>+E88+E87+E78</f>
        <v>1529.4</v>
      </c>
      <c r="F92" s="115">
        <f>+F88+F87+F78</f>
        <v>1585.3</v>
      </c>
      <c r="G92" s="115">
        <f>+G88+G87+G78</f>
        <v>1572.1000000000001</v>
      </c>
      <c r="H92" s="213">
        <f>SUM(D92:G92)</f>
        <v>6190.8</v>
      </c>
      <c r="I92" s="115">
        <f>+I88+I87+I78</f>
        <v>1571.1</v>
      </c>
      <c r="J92" s="115">
        <f>+J88+J87+J78</f>
        <v>1134.5999999999999</v>
      </c>
      <c r="K92" s="115">
        <f>+K88+K87+K78</f>
        <v>949.6</v>
      </c>
      <c r="L92" s="115">
        <f>+L88+L87+L78</f>
        <v>1511.3</v>
      </c>
      <c r="M92" s="213">
        <f>SUM(I92:L92)</f>
        <v>5166.5999999999995</v>
      </c>
      <c r="N92" s="115">
        <f>+N88+N87+N78</f>
        <v>1654.3</v>
      </c>
      <c r="O92" s="115">
        <f>+O88+O87+O78</f>
        <v>1610.9</v>
      </c>
      <c r="P92" s="115">
        <f>+P88+P87+P78</f>
        <v>1658.3999999999999</v>
      </c>
      <c r="Q92" s="115">
        <f>+Q88+Q87+Q78</f>
        <v>1914.6</v>
      </c>
      <c r="R92" s="73">
        <f>SUM(N92:Q92)</f>
        <v>6838.1999999999989</v>
      </c>
      <c r="S92" s="72">
        <f>+S88+S87+S78</f>
        <v>1875.8999999999999</v>
      </c>
      <c r="T92" s="72">
        <f>+T88+T87+T78</f>
        <v>1702.4</v>
      </c>
      <c r="U92" s="72">
        <f>+U88+U87+U78</f>
        <v>1584.7</v>
      </c>
      <c r="V92" s="72">
        <f>+V88+V87+V78</f>
        <v>1823.5761158449245</v>
      </c>
      <c r="W92" s="213">
        <f>SUM(S92:V92)</f>
        <v>6986.5761158449241</v>
      </c>
      <c r="X92" s="72">
        <f>+X88+X87+X78</f>
        <v>1859.3980790941234</v>
      </c>
      <c r="Y92" s="72">
        <f>+Y88+Y87+Y78</f>
        <v>1866.2076331315682</v>
      </c>
      <c r="Z92" s="72">
        <f>+Z88+Z87+Z78</f>
        <v>2111.4480030676737</v>
      </c>
      <c r="AA92" s="72">
        <f>+AA88+AA87+AA78</f>
        <v>2448.803994732682</v>
      </c>
      <c r="AB92" s="73">
        <f>SUM(X92:AA92)</f>
        <v>8285.8577100260463</v>
      </c>
      <c r="AC92" s="72">
        <f>+AC88+AC87+AC78</f>
        <v>2419.4190364494266</v>
      </c>
      <c r="AD92" s="72">
        <f>+AD88+AD87+AD78</f>
        <v>2186.2098360092286</v>
      </c>
      <c r="AE92" s="72">
        <f>+AE88+AE87+AE78</f>
        <v>2467.9509919350912</v>
      </c>
      <c r="AF92" s="72">
        <f>+AF88+AF87+AF78</f>
        <v>2860.2938746380978</v>
      </c>
      <c r="AG92" s="73">
        <f>SUM(AC92:AF92)</f>
        <v>9933.8737390318456</v>
      </c>
      <c r="AH92" s="72">
        <f>+AH88+AH87+AH78</f>
        <v>2823.5496780854023</v>
      </c>
      <c r="AI92" s="72">
        <f>+AI88+AI87+AI78</f>
        <v>2544.6124113472024</v>
      </c>
      <c r="AJ92" s="72">
        <f>+AJ88+AJ87+AJ78</f>
        <v>2865.6689451780521</v>
      </c>
      <c r="AK92" s="72">
        <f>+AK88+AK87+AK78</f>
        <v>3319.0780362910773</v>
      </c>
      <c r="AL92" s="73">
        <f>SUM(AH92:AK92)</f>
        <v>11552.909070901733</v>
      </c>
      <c r="AM92" s="72">
        <f>+AM88+AM87+AM78</f>
        <v>3245.8090973554649</v>
      </c>
      <c r="AN92" s="72">
        <f>+AN88+AN87+AN78</f>
        <v>2880.2329610479633</v>
      </c>
      <c r="AO92" s="72">
        <f>+AO88+AO87+AO78</f>
        <v>3195.9703736699548</v>
      </c>
      <c r="AP92" s="72">
        <f>+AP88+AP87+AP78</f>
        <v>3653.4244598178502</v>
      </c>
      <c r="AQ92" s="73">
        <f>SUM(AM92:AP92)</f>
        <v>12975.436891891233</v>
      </c>
      <c r="AR92" s="72">
        <f>+AR88+AR87+AR78</f>
        <v>3479.5648395651397</v>
      </c>
      <c r="AS92" s="72">
        <f>+AS88+AS87+AS78</f>
        <v>3084.4695539758368</v>
      </c>
      <c r="AT92" s="72">
        <f>+AT88+AT87+AT78</f>
        <v>3420.0945372547908</v>
      </c>
      <c r="AU92" s="72">
        <f>+AU88+AU87+AU78</f>
        <v>3911.8071882243435</v>
      </c>
      <c r="AV92" s="73">
        <f>SUM(AR92:AU92)</f>
        <v>13895.936119020111</v>
      </c>
    </row>
    <row r="93" spans="1:48" outlineLevel="1" x14ac:dyDescent="0.3">
      <c r="B93" s="443" t="s">
        <v>100</v>
      </c>
      <c r="C93" s="444"/>
      <c r="D93" s="105">
        <v>462.7</v>
      </c>
      <c r="E93" s="105">
        <v>470.2</v>
      </c>
      <c r="F93" s="105">
        <v>476.1</v>
      </c>
      <c r="G93" s="105">
        <v>486.1</v>
      </c>
      <c r="H93" s="129">
        <f>SUM(D93:G93)</f>
        <v>1895.1</v>
      </c>
      <c r="I93" s="105">
        <v>488.5</v>
      </c>
      <c r="J93" s="105">
        <v>387.7</v>
      </c>
      <c r="K93" s="105">
        <v>337.7</v>
      </c>
      <c r="L93" s="105">
        <v>479.2</v>
      </c>
      <c r="M93" s="129">
        <f>SUM(I93:L93)</f>
        <v>1693.1000000000001</v>
      </c>
      <c r="N93" s="105">
        <v>520.4</v>
      </c>
      <c r="O93" s="105">
        <v>513.5</v>
      </c>
      <c r="P93" s="105">
        <v>501.7</v>
      </c>
      <c r="Q93" s="105">
        <v>605.1</v>
      </c>
      <c r="R93" s="76">
        <f>SUM(N93:Q93)</f>
        <v>2140.7000000000003</v>
      </c>
      <c r="S93" s="48">
        <v>615.79999999999995</v>
      </c>
      <c r="T93" s="48">
        <v>580.5</v>
      </c>
      <c r="U93" s="48">
        <v>550.29999999999995</v>
      </c>
      <c r="V93" s="48">
        <f t="shared" ref="V93" si="359">V94*V92</f>
        <v>631.03962845485455</v>
      </c>
      <c r="W93" s="76">
        <f>SUM(S93:V93)</f>
        <v>2377.6396284548546</v>
      </c>
      <c r="X93" s="48">
        <f>X94*X92</f>
        <v>647.57089089909618</v>
      </c>
      <c r="Y93" s="48">
        <f>Y94*Y92</f>
        <v>617.69455608931128</v>
      </c>
      <c r="Z93" s="48">
        <f t="shared" ref="Z93:AA93" si="360">Z94*Z92</f>
        <v>722.66030026871579</v>
      </c>
      <c r="AA93" s="48">
        <f t="shared" si="360"/>
        <v>835.15266918449061</v>
      </c>
      <c r="AB93" s="76">
        <f>SUM(X93:AA93)</f>
        <v>2823.0784164416136</v>
      </c>
      <c r="AC93" s="48">
        <f>AC94*AC92</f>
        <v>794.22050356925035</v>
      </c>
      <c r="AD93" s="48">
        <f>AD94*AD92</f>
        <v>679.88762985120638</v>
      </c>
      <c r="AE93" s="48">
        <f t="shared" ref="AE93:AF93" si="361">AE94*AE92</f>
        <v>844.6763558889902</v>
      </c>
      <c r="AF93" s="48">
        <f t="shared" si="361"/>
        <v>975.4892875029069</v>
      </c>
      <c r="AG93" s="76">
        <f>SUM(AC93:AF93)</f>
        <v>3294.2737768123538</v>
      </c>
      <c r="AH93" s="48">
        <f>AH94*AH92</f>
        <v>921.23700521496335</v>
      </c>
      <c r="AI93" s="48">
        <f>AI94*AI92</f>
        <v>786.25773224657632</v>
      </c>
      <c r="AJ93" s="48">
        <f t="shared" ref="AJ93:AK93" si="362">AJ94*AJ92</f>
        <v>952.14187976912149</v>
      </c>
      <c r="AK93" s="48">
        <f t="shared" si="362"/>
        <v>1125.3172340699036</v>
      </c>
      <c r="AL93" s="76">
        <f>SUM(AH93:AK93)</f>
        <v>3784.9538513005646</v>
      </c>
      <c r="AM93" s="48">
        <f>AM94*AM92</f>
        <v>1059.0072048510247</v>
      </c>
      <c r="AN93" s="48">
        <f>AN94*AN92</f>
        <v>889.96085462636563</v>
      </c>
      <c r="AO93" s="48">
        <f t="shared" ref="AO93:AP93" si="363">AO94*AO92</f>
        <v>1061.887223362942</v>
      </c>
      <c r="AP93" s="48">
        <f t="shared" si="363"/>
        <v>1238.6757596696061</v>
      </c>
      <c r="AQ93" s="76">
        <f>SUM(AM93:AP93)</f>
        <v>4249.5310425099387</v>
      </c>
      <c r="AR93" s="48">
        <f>AR94*AR92</f>
        <v>1135.2744798971867</v>
      </c>
      <c r="AS93" s="48">
        <f>AS94*AS92</f>
        <v>953.06775439670002</v>
      </c>
      <c r="AT93" s="48">
        <f t="shared" ref="AT93:AU93" si="364">AT94*AT92</f>
        <v>1136.354304697101</v>
      </c>
      <c r="AU93" s="48">
        <f t="shared" si="364"/>
        <v>1326.2791646159824</v>
      </c>
      <c r="AV93" s="76">
        <f>SUM(AR93:AU93)</f>
        <v>4550.9757036069695</v>
      </c>
    </row>
    <row r="94" spans="1:48" s="183" customFormat="1" outlineLevel="1" x14ac:dyDescent="0.3">
      <c r="A94" s="238"/>
      <c r="B94" s="181" t="s">
        <v>151</v>
      </c>
      <c r="C94" s="182"/>
      <c r="D94" s="167">
        <f>D93/D92</f>
        <v>0.30764627659574467</v>
      </c>
      <c r="E94" s="167">
        <f t="shared" ref="E94:U94" si="365">E93/E92</f>
        <v>0.30744082646789589</v>
      </c>
      <c r="F94" s="167">
        <f t="shared" si="365"/>
        <v>0.30032170567085098</v>
      </c>
      <c r="G94" s="167">
        <f t="shared" si="365"/>
        <v>0.30920424909356908</v>
      </c>
      <c r="H94" s="186">
        <f>H93/H92</f>
        <v>0.30611552626477995</v>
      </c>
      <c r="I94" s="167">
        <f t="shared" si="365"/>
        <v>0.31092864871745912</v>
      </c>
      <c r="J94" s="167">
        <f t="shared" si="365"/>
        <v>0.34170632822139962</v>
      </c>
      <c r="K94" s="167">
        <f t="shared" si="365"/>
        <v>0.35562342038753159</v>
      </c>
      <c r="L94" s="167">
        <f t="shared" si="365"/>
        <v>0.31707801230728511</v>
      </c>
      <c r="M94" s="186">
        <f>M93/M92</f>
        <v>0.32770100259358192</v>
      </c>
      <c r="N94" s="167">
        <f t="shared" si="365"/>
        <v>0.31457414011968809</v>
      </c>
      <c r="O94" s="167">
        <f t="shared" si="365"/>
        <v>0.31876590725681292</v>
      </c>
      <c r="P94" s="167">
        <f t="shared" si="365"/>
        <v>0.30252050168837435</v>
      </c>
      <c r="Q94" s="167">
        <f t="shared" si="365"/>
        <v>0.31604512691946102</v>
      </c>
      <c r="R94" s="188">
        <f>R93/R92</f>
        <v>0.31305021789359783</v>
      </c>
      <c r="S94" s="167">
        <f t="shared" si="365"/>
        <v>0.32826909749986671</v>
      </c>
      <c r="T94" s="167">
        <f t="shared" si="365"/>
        <v>0.34098919172932329</v>
      </c>
      <c r="U94" s="167">
        <f t="shared" si="365"/>
        <v>0.34725815611787714</v>
      </c>
      <c r="V94" s="189">
        <f>Q94+3%</f>
        <v>0.34604512691946099</v>
      </c>
      <c r="W94" s="188">
        <f>W93/W92</f>
        <v>0.34031542618745431</v>
      </c>
      <c r="X94" s="189">
        <f>S94+2%</f>
        <v>0.34826909749986673</v>
      </c>
      <c r="Y94" s="189">
        <f>T94-1%</f>
        <v>0.33098919172932328</v>
      </c>
      <c r="Z94" s="189">
        <f>U94-0.5%</f>
        <v>0.34225815611787713</v>
      </c>
      <c r="AA94" s="189">
        <f>V94-0.5%</f>
        <v>0.34104512691946098</v>
      </c>
      <c r="AB94" s="188">
        <f>AB93/AB92</f>
        <v>0.34071046296458057</v>
      </c>
      <c r="AC94" s="189">
        <f>X94-2%</f>
        <v>0.32826909749986671</v>
      </c>
      <c r="AD94" s="189">
        <f>Y94-2%</f>
        <v>0.31098919172932327</v>
      </c>
      <c r="AE94" s="189">
        <f t="shared" ref="AE94" si="366">Z94</f>
        <v>0.34225815611787713</v>
      </c>
      <c r="AF94" s="189">
        <f t="shared" ref="AF94" si="367">AA94</f>
        <v>0.34104512691946098</v>
      </c>
      <c r="AG94" s="188">
        <f>AG93/AG92</f>
        <v>0.33162025845653775</v>
      </c>
      <c r="AH94" s="189">
        <f>AC94-0.2%</f>
        <v>0.32626909749986671</v>
      </c>
      <c r="AI94" s="189">
        <f>AD94-0.2%</f>
        <v>0.30898919172932326</v>
      </c>
      <c r="AJ94" s="189">
        <f>AE94-1%</f>
        <v>0.33225815611787712</v>
      </c>
      <c r="AK94" s="189">
        <f>AF94-0.2%</f>
        <v>0.33904512691946098</v>
      </c>
      <c r="AL94" s="188">
        <f>AL93/AL92</f>
        <v>0.32761911550344608</v>
      </c>
      <c r="AM94" s="189">
        <f>AH94</f>
        <v>0.32626909749986671</v>
      </c>
      <c r="AN94" s="189">
        <f t="shared" ref="AN94" si="368">AI94</f>
        <v>0.30898919172932326</v>
      </c>
      <c r="AO94" s="189">
        <f t="shared" ref="AO94" si="369">AJ94</f>
        <v>0.33225815611787712</v>
      </c>
      <c r="AP94" s="189">
        <f t="shared" ref="AP94" si="370">AK94</f>
        <v>0.33904512691946098</v>
      </c>
      <c r="AQ94" s="188">
        <f>AQ93/AQ92</f>
        <v>0.32750581563581932</v>
      </c>
      <c r="AR94" s="189">
        <f>AM94</f>
        <v>0.32626909749986671</v>
      </c>
      <c r="AS94" s="189">
        <f t="shared" ref="AS94" si="371">AN94</f>
        <v>0.30898919172932326</v>
      </c>
      <c r="AT94" s="189">
        <f t="shared" ref="AT94" si="372">AO94</f>
        <v>0.33225815611787712</v>
      </c>
      <c r="AU94" s="189">
        <f t="shared" ref="AU94" si="373">AP94</f>
        <v>0.33904512691946098</v>
      </c>
      <c r="AV94" s="188">
        <f>AV93/AV92</f>
        <v>0.32750407490559819</v>
      </c>
    </row>
    <row r="95" spans="1:48" outlineLevel="1" x14ac:dyDescent="0.3">
      <c r="B95" s="180" t="s">
        <v>32</v>
      </c>
      <c r="C95" s="18"/>
      <c r="D95" s="105">
        <v>603.70000000000005</v>
      </c>
      <c r="E95" s="105">
        <v>618.4</v>
      </c>
      <c r="F95" s="105">
        <v>609.20000000000005</v>
      </c>
      <c r="G95" s="105">
        <v>597.29999999999995</v>
      </c>
      <c r="H95" s="170">
        <f>SUM(D95:G95)</f>
        <v>2428.6</v>
      </c>
      <c r="I95" s="105">
        <v>607.1</v>
      </c>
      <c r="J95" s="105">
        <v>562.79999999999995</v>
      </c>
      <c r="K95" s="105">
        <v>483.4</v>
      </c>
      <c r="L95" s="105">
        <v>622.70000000000005</v>
      </c>
      <c r="M95" s="170">
        <f>SUM(I95:L95)</f>
        <v>2276</v>
      </c>
      <c r="N95" s="105">
        <v>628.5</v>
      </c>
      <c r="O95" s="105">
        <v>620.20000000000005</v>
      </c>
      <c r="P95" s="105">
        <v>620.1</v>
      </c>
      <c r="Q95" s="105">
        <v>702.6</v>
      </c>
      <c r="R95" s="49">
        <f>SUM(N95:Q95)</f>
        <v>2571.4</v>
      </c>
      <c r="S95" s="48">
        <v>697.6</v>
      </c>
      <c r="T95" s="48">
        <v>689.3</v>
      </c>
      <c r="U95" s="48">
        <v>632.5</v>
      </c>
      <c r="V95" s="48">
        <f>V96*V78</f>
        <v>687.83425411270559</v>
      </c>
      <c r="W95" s="49">
        <f>SUM(S95:V95)</f>
        <v>2707.2342541127055</v>
      </c>
      <c r="X95" s="48">
        <f>X96*X78</f>
        <v>678.62934254252229</v>
      </c>
      <c r="Y95" s="48">
        <f>Y96*Y78</f>
        <v>711.4150702494693</v>
      </c>
      <c r="Z95" s="48">
        <f>Z96*Z78</f>
        <v>845.63636146105591</v>
      </c>
      <c r="AA95" s="48">
        <f>AA96*AA78</f>
        <v>923.01537332866644</v>
      </c>
      <c r="AB95" s="49">
        <f>SUM(X95:AA95)</f>
        <v>3158.6961475817138</v>
      </c>
      <c r="AC95" s="48">
        <f>AC96*AC78</f>
        <v>917.62726295588539</v>
      </c>
      <c r="AD95" s="48">
        <f>AD96*AD78</f>
        <v>806.32452929936312</v>
      </c>
      <c r="AE95" s="48">
        <f>AE96*AE78</f>
        <v>995.70254103371667</v>
      </c>
      <c r="AF95" s="48">
        <f>AF96*AF78</f>
        <v>1084.5079056352818</v>
      </c>
      <c r="AG95" s="49">
        <f>SUM(AC95:AF95)</f>
        <v>3804.1622389242466</v>
      </c>
      <c r="AH95" s="48">
        <f>AH96*AH78</f>
        <v>1071.5511964459445</v>
      </c>
      <c r="AI95" s="48">
        <f>AI96*AI78</f>
        <v>939.72154351194274</v>
      </c>
      <c r="AJ95" s="48">
        <f>AJ96*AJ78</f>
        <v>1119.9080534219811</v>
      </c>
      <c r="AK95" s="48">
        <f>AK96*AK78</f>
        <v>1259.1257593066855</v>
      </c>
      <c r="AL95" s="49">
        <f>SUM(AH95:AK95)</f>
        <v>4390.3065526865539</v>
      </c>
      <c r="AM95" s="48">
        <f>AM96*AM78</f>
        <v>1238.4590236873676</v>
      </c>
      <c r="AN95" s="48">
        <f>AN96*AN78</f>
        <v>1069.9080147072732</v>
      </c>
      <c r="AO95" s="48">
        <f>AO96*AO78</f>
        <v>1256.7509268026661</v>
      </c>
      <c r="AP95" s="48">
        <f>AP96*AP78</f>
        <v>1393.2960225678964</v>
      </c>
      <c r="AQ95" s="49">
        <f>SUM(AM95:AP95)</f>
        <v>4958.4139877652033</v>
      </c>
      <c r="AR95" s="48">
        <f>AR96*AR78</f>
        <v>1334.7742868245809</v>
      </c>
      <c r="AS95" s="48">
        <f>AS96*AS78</f>
        <v>1152.5292132402931</v>
      </c>
      <c r="AT95" s="48">
        <f>AT96*AT78</f>
        <v>1353.1281230512636</v>
      </c>
      <c r="AU95" s="48">
        <f>AU96*AU78</f>
        <v>1499.4156539506191</v>
      </c>
      <c r="AV95" s="49">
        <f>SUM(AR95:AU95)</f>
        <v>5339.8472770667568</v>
      </c>
    </row>
    <row r="96" spans="1:48" s="184" customFormat="1" outlineLevel="1" x14ac:dyDescent="0.3">
      <c r="B96" s="181" t="s">
        <v>150</v>
      </c>
      <c r="C96" s="190"/>
      <c r="D96" s="167">
        <f t="shared" ref="D96:U96" si="374">D95/D78</f>
        <v>0.47234175729598632</v>
      </c>
      <c r="E96" s="167">
        <f t="shared" si="374"/>
        <v>0.4722773789521918</v>
      </c>
      <c r="F96" s="167">
        <f t="shared" si="374"/>
        <v>0.45032525133057366</v>
      </c>
      <c r="G96" s="167">
        <f t="shared" si="374"/>
        <v>0.45390987157078799</v>
      </c>
      <c r="H96" s="186">
        <f t="shared" si="374"/>
        <v>0.46204482325634483</v>
      </c>
      <c r="I96" s="167">
        <f t="shared" si="374"/>
        <v>0.46354126899289916</v>
      </c>
      <c r="J96" s="167">
        <f t="shared" si="374"/>
        <v>0.62367021276595747</v>
      </c>
      <c r="K96" s="167">
        <f t="shared" si="374"/>
        <v>0.5521416333523701</v>
      </c>
      <c r="L96" s="167">
        <f t="shared" si="374"/>
        <v>0.47962720480628518</v>
      </c>
      <c r="M96" s="186">
        <f t="shared" si="374"/>
        <v>0.51893568024806769</v>
      </c>
      <c r="N96" s="167">
        <f t="shared" si="374"/>
        <v>0.43594367760282998</v>
      </c>
      <c r="O96" s="167">
        <f t="shared" si="374"/>
        <v>0.44789485087022463</v>
      </c>
      <c r="P96" s="167">
        <f t="shared" si="374"/>
        <v>0.4326379683248448</v>
      </c>
      <c r="Q96" s="167">
        <f t="shared" si="374"/>
        <v>0.43639751552795031</v>
      </c>
      <c r="R96" s="188">
        <f t="shared" si="374"/>
        <v>0.43808031074841985</v>
      </c>
      <c r="S96" s="167">
        <f t="shared" si="374"/>
        <v>0.46250745872836974</v>
      </c>
      <c r="T96" s="167">
        <f t="shared" si="374"/>
        <v>0.51424947776783048</v>
      </c>
      <c r="U96" s="167">
        <f t="shared" si="374"/>
        <v>0.54417964380968775</v>
      </c>
      <c r="V96" s="189">
        <f>Q96+5%</f>
        <v>0.4863975155279503</v>
      </c>
      <c r="W96" s="188">
        <f>W95/W78</f>
        <v>0.49901646423016127</v>
      </c>
      <c r="X96" s="189">
        <f>S96+2%</f>
        <v>0.48250745872836975</v>
      </c>
      <c r="Y96" s="189">
        <f>T96-1%</f>
        <v>0.50424947776783047</v>
      </c>
      <c r="Z96" s="189">
        <f>U96-0.5%</f>
        <v>0.53917964380968775</v>
      </c>
      <c r="AA96" s="189">
        <f>V96-0.5%</f>
        <v>0.48139751552795029</v>
      </c>
      <c r="AB96" s="188">
        <f>AB95/AB78</f>
        <v>0.50113807440579672</v>
      </c>
      <c r="AC96" s="189">
        <f>X96</f>
        <v>0.48250745872836975</v>
      </c>
      <c r="AD96" s="189">
        <f>Y96-2%</f>
        <v>0.48424947776783045</v>
      </c>
      <c r="AE96" s="189">
        <f t="shared" ref="AE96" si="375">Z96</f>
        <v>0.53917964380968775</v>
      </c>
      <c r="AF96" s="189">
        <f t="shared" ref="AF96" si="376">AA96</f>
        <v>0.48139751552795029</v>
      </c>
      <c r="AG96" s="188">
        <f>AG95/AG78</f>
        <v>0.49621093053200743</v>
      </c>
      <c r="AH96" s="189">
        <f>AC96-0.2%</f>
        <v>0.48050745872836975</v>
      </c>
      <c r="AI96" s="189">
        <f>AD96-0.2%</f>
        <v>0.48224947776783045</v>
      </c>
      <c r="AJ96" s="189">
        <f>AE96-2%</f>
        <v>0.51917964380968773</v>
      </c>
      <c r="AK96" s="189">
        <f>AF96-0.2%</f>
        <v>0.47939751552795029</v>
      </c>
      <c r="AL96" s="188">
        <f>AL95/AL78</f>
        <v>0.48986876600013574</v>
      </c>
      <c r="AM96" s="189">
        <f>AH96</f>
        <v>0.48050745872836975</v>
      </c>
      <c r="AN96" s="189">
        <f t="shared" ref="AN96" si="377">AI96</f>
        <v>0.48224947776783045</v>
      </c>
      <c r="AO96" s="189">
        <f t="shared" ref="AO96" si="378">AJ96</f>
        <v>0.51917964380968773</v>
      </c>
      <c r="AP96" s="189">
        <f t="shared" ref="AP96" si="379">AK96</f>
        <v>0.47939751552795029</v>
      </c>
      <c r="AQ96" s="188">
        <f>AQ95/AQ78</f>
        <v>0.48981803051047301</v>
      </c>
      <c r="AR96" s="189">
        <f>AM96</f>
        <v>0.48050745872836975</v>
      </c>
      <c r="AS96" s="189">
        <f t="shared" ref="AS96" si="380">AN96</f>
        <v>0.48224947776783045</v>
      </c>
      <c r="AT96" s="189">
        <f t="shared" ref="AT96" si="381">AO96</f>
        <v>0.51917964380968773</v>
      </c>
      <c r="AU96" s="189">
        <f t="shared" ref="AU96" si="382">AP96</f>
        <v>0.47939751552795029</v>
      </c>
      <c r="AV96" s="188">
        <f>AV95/AV78</f>
        <v>0.48981627641184178</v>
      </c>
    </row>
    <row r="97" spans="1:48" outlineLevel="1" x14ac:dyDescent="0.3">
      <c r="B97" s="180" t="s">
        <v>33</v>
      </c>
      <c r="C97" s="18"/>
      <c r="D97" s="105">
        <v>31.3</v>
      </c>
      <c r="E97" s="105">
        <v>26.3</v>
      </c>
      <c r="F97" s="105">
        <v>26.7</v>
      </c>
      <c r="G97" s="105">
        <v>31.9</v>
      </c>
      <c r="H97" s="170">
        <f>SUM(D97:G97)</f>
        <v>116.19999999999999</v>
      </c>
      <c r="I97" s="105">
        <v>35.9</v>
      </c>
      <c r="J97" s="105">
        <v>31.8</v>
      </c>
      <c r="K97" s="105">
        <v>37.5</v>
      </c>
      <c r="L97" s="105">
        <v>39.9</v>
      </c>
      <c r="M97" s="170">
        <f>SUM(I97:L97)</f>
        <v>145.1</v>
      </c>
      <c r="N97" s="105">
        <v>34.299999999999997</v>
      </c>
      <c r="O97" s="105">
        <v>29.3</v>
      </c>
      <c r="P97" s="105">
        <v>38.299999999999997</v>
      </c>
      <c r="Q97" s="105">
        <v>39.799999999999997</v>
      </c>
      <c r="R97" s="49">
        <f>SUM(N97:Q97)</f>
        <v>141.69999999999999</v>
      </c>
      <c r="S97" s="48">
        <v>39.200000000000003</v>
      </c>
      <c r="T97" s="48">
        <v>39.5</v>
      </c>
      <c r="U97" s="48">
        <v>60.2</v>
      </c>
      <c r="V97" s="48">
        <f t="shared" ref="V97" si="383">V98*V92</f>
        <v>37.907829003775198</v>
      </c>
      <c r="W97" s="49">
        <f>SUM(S97:V97)</f>
        <v>176.8078290037752</v>
      </c>
      <c r="X97" s="48">
        <f>X98*X92</f>
        <v>38.855165360887916</v>
      </c>
      <c r="Y97" s="48">
        <f>Y98*Y92</f>
        <v>43.300752765916904</v>
      </c>
      <c r="Z97" s="48">
        <f t="shared" ref="Z97:AA97" si="384">Z98*Z92</f>
        <v>69.653001534907077</v>
      </c>
      <c r="AA97" s="48">
        <f t="shared" si="384"/>
        <v>50.904835992040496</v>
      </c>
      <c r="AB97" s="49">
        <f>SUM(X97:AA97)</f>
        <v>202.7137556537524</v>
      </c>
      <c r="AC97" s="48">
        <f>AC98*AC92</f>
        <v>50.557719616620041</v>
      </c>
      <c r="AD97" s="48">
        <f>AD98*AD92</f>
        <v>50.725615908343826</v>
      </c>
      <c r="AE97" s="48">
        <f t="shared" ref="AE97:AF97" si="385">AE98*AE92</f>
        <v>69.073660847666503</v>
      </c>
      <c r="AF97" s="48">
        <f t="shared" si="385"/>
        <v>59.45873613840817</v>
      </c>
      <c r="AG97" s="49">
        <f>SUM(AC97:AF97)</f>
        <v>229.81573251103853</v>
      </c>
      <c r="AH97" s="48">
        <f>AH98*AH92</f>
        <v>53.355591288825082</v>
      </c>
      <c r="AI97" s="48">
        <f>AI98*AI92</f>
        <v>53.95224031370978</v>
      </c>
      <c r="AJ97" s="48">
        <f t="shared" ref="AJ97:AK97" si="386">AJ98*AJ92</f>
        <v>63.011081757392688</v>
      </c>
      <c r="AK97" s="48">
        <f t="shared" si="386"/>
        <v>62.357616331254093</v>
      </c>
      <c r="AL97" s="49">
        <f>SUM(AH97:AK97)</f>
        <v>232.67652969118163</v>
      </c>
      <c r="AM97" s="48">
        <f>AM98*AM92</f>
        <v>61.334873951104008</v>
      </c>
      <c r="AN97" s="48">
        <f>AN98*AN92</f>
        <v>61.06824763605406</v>
      </c>
      <c r="AO97" s="48">
        <f t="shared" ref="AO97:AP97" si="387">AO98*AO92</f>
        <v>70.273836357957251</v>
      </c>
      <c r="AP97" s="48">
        <f t="shared" si="387"/>
        <v>68.639193857315334</v>
      </c>
      <c r="AQ97" s="49">
        <f>SUM(AM97:AP97)</f>
        <v>261.31615180243062</v>
      </c>
      <c r="AR97" s="48">
        <f>AR98*AR92</f>
        <v>65.752071190294259</v>
      </c>
      <c r="AS97" s="48">
        <f>AS98*AS92</f>
        <v>65.398581675674691</v>
      </c>
      <c r="AT97" s="48">
        <f t="shared" ref="AT97:AU97" si="388">AT98*AT92</f>
        <v>75.201937358323804</v>
      </c>
      <c r="AU97" s="48">
        <f t="shared" si="388"/>
        <v>73.493593443110939</v>
      </c>
      <c r="AV97" s="49">
        <f>SUM(AR97:AU97)</f>
        <v>279.84618366740369</v>
      </c>
    </row>
    <row r="98" spans="1:48" s="184" customFormat="1" outlineLevel="1" x14ac:dyDescent="0.3">
      <c r="B98" s="181" t="s">
        <v>152</v>
      </c>
      <c r="C98" s="190"/>
      <c r="D98" s="167">
        <f>D97/D92</f>
        <v>2.0811170212765958E-2</v>
      </c>
      <c r="E98" s="167">
        <f t="shared" ref="E98:U98" si="389">E97/E92</f>
        <v>1.7196286125277887E-2</v>
      </c>
      <c r="F98" s="167">
        <f t="shared" si="389"/>
        <v>1.6842238062196431E-2</v>
      </c>
      <c r="G98" s="167">
        <f t="shared" si="389"/>
        <v>2.0291330068061827E-2</v>
      </c>
      <c r="H98" s="186">
        <f t="shared" si="389"/>
        <v>1.8769787426503842E-2</v>
      </c>
      <c r="I98" s="167">
        <f t="shared" si="389"/>
        <v>2.2850232321303544E-2</v>
      </c>
      <c r="J98" s="167">
        <f t="shared" si="389"/>
        <v>2.8027498677948178E-2</v>
      </c>
      <c r="K98" s="167">
        <f t="shared" si="389"/>
        <v>3.9490311710193765E-2</v>
      </c>
      <c r="L98" s="167">
        <f t="shared" si="389"/>
        <v>2.6401111625752663E-2</v>
      </c>
      <c r="M98" s="186">
        <f t="shared" si="389"/>
        <v>2.8084233344946388E-2</v>
      </c>
      <c r="N98" s="167">
        <f t="shared" si="389"/>
        <v>2.0733845130871061E-2</v>
      </c>
      <c r="O98" s="167">
        <f t="shared" si="389"/>
        <v>1.8188590229064498E-2</v>
      </c>
      <c r="P98" s="167">
        <f t="shared" si="389"/>
        <v>2.3094548962855763E-2</v>
      </c>
      <c r="Q98" s="167">
        <f t="shared" si="389"/>
        <v>2.0787631881332914E-2</v>
      </c>
      <c r="R98" s="188">
        <f t="shared" ref="R98" si="390">R97/R92</f>
        <v>2.0721827381474659E-2</v>
      </c>
      <c r="S98" s="167">
        <f t="shared" si="389"/>
        <v>2.0896636281251667E-2</v>
      </c>
      <c r="T98" s="167">
        <f t="shared" si="389"/>
        <v>2.3202537593984961E-2</v>
      </c>
      <c r="U98" s="167">
        <f t="shared" si="389"/>
        <v>3.7988262762668014E-2</v>
      </c>
      <c r="V98" s="189">
        <f>Q98</f>
        <v>2.0787631881332914E-2</v>
      </c>
      <c r="W98" s="188">
        <f t="shared" ref="W98" si="391">W97/W92</f>
        <v>2.5306792064111489E-2</v>
      </c>
      <c r="X98" s="189">
        <f>S98</f>
        <v>2.0896636281251667E-2</v>
      </c>
      <c r="Y98" s="189">
        <f t="shared" ref="Y98" si="392">T98</f>
        <v>2.3202537593984961E-2</v>
      </c>
      <c r="Z98" s="189">
        <f>U98-0.5%</f>
        <v>3.2988262762668016E-2</v>
      </c>
      <c r="AA98" s="189">
        <f t="shared" ref="AA98" si="393">V98</f>
        <v>2.0787631881332914E-2</v>
      </c>
      <c r="AB98" s="188">
        <f t="shared" ref="AB98" si="394">AB97/AB92</f>
        <v>2.4465029783031982E-2</v>
      </c>
      <c r="AC98" s="189">
        <f>X98</f>
        <v>2.0896636281251667E-2</v>
      </c>
      <c r="AD98" s="189">
        <f t="shared" ref="AD98" si="395">Y98</f>
        <v>2.3202537593984961E-2</v>
      </c>
      <c r="AE98" s="189">
        <f>Z98-0.5%</f>
        <v>2.7988262762668015E-2</v>
      </c>
      <c r="AF98" s="189">
        <f t="shared" ref="AF98" si="396">AA98</f>
        <v>2.0787631881332914E-2</v>
      </c>
      <c r="AG98" s="188">
        <f t="shared" ref="AG98" si="397">AG97/AG92</f>
        <v>2.3134553402672536E-2</v>
      </c>
      <c r="AH98" s="189">
        <f>AC98-0.2%</f>
        <v>1.8896636281251669E-2</v>
      </c>
      <c r="AI98" s="189">
        <f>AD98-0.2%</f>
        <v>2.1202537593984959E-2</v>
      </c>
      <c r="AJ98" s="189">
        <f>AE98-0.6%</f>
        <v>2.1988262762668014E-2</v>
      </c>
      <c r="AK98" s="189">
        <f>AF98-0.2%</f>
        <v>1.8787631881332915E-2</v>
      </c>
      <c r="AL98" s="188">
        <f t="shared" ref="AL98" si="398">AL97/AL92</f>
        <v>2.0140081451625297E-2</v>
      </c>
      <c r="AM98" s="189">
        <f>AH98</f>
        <v>1.8896636281251669E-2</v>
      </c>
      <c r="AN98" s="189">
        <f t="shared" ref="AN98" si="399">AI98</f>
        <v>2.1202537593984959E-2</v>
      </c>
      <c r="AO98" s="189">
        <f t="shared" ref="AO98" si="400">AJ98</f>
        <v>2.1988262762668014E-2</v>
      </c>
      <c r="AP98" s="189">
        <f t="shared" ref="AP98" si="401">AK98</f>
        <v>1.8787631881332915E-2</v>
      </c>
      <c r="AQ98" s="188">
        <f t="shared" ref="AQ98" si="402">AQ97/AQ92</f>
        <v>2.0139295037204911E-2</v>
      </c>
      <c r="AR98" s="189">
        <f>AM98</f>
        <v>1.8896636281251669E-2</v>
      </c>
      <c r="AS98" s="189">
        <f t="shared" ref="AS98" si="403">AN98</f>
        <v>2.1202537593984959E-2</v>
      </c>
      <c r="AT98" s="189">
        <f t="shared" ref="AT98" si="404">AO98</f>
        <v>2.1988262762668014E-2</v>
      </c>
      <c r="AU98" s="189">
        <f t="shared" ref="AU98" si="405">AP98</f>
        <v>1.8787631881332915E-2</v>
      </c>
      <c r="AV98" s="188">
        <f t="shared" ref="AV98" si="406">AV97/AV92</f>
        <v>2.013870683273819E-2</v>
      </c>
    </row>
    <row r="99" spans="1:48" outlineLevel="1" x14ac:dyDescent="0.3">
      <c r="B99" s="180" t="s">
        <v>34</v>
      </c>
      <c r="C99" s="18"/>
      <c r="D99" s="358">
        <v>127</v>
      </c>
      <c r="E99" s="358">
        <v>130.4</v>
      </c>
      <c r="F99" s="358">
        <v>127.7</v>
      </c>
      <c r="G99" s="358">
        <v>126.5</v>
      </c>
      <c r="H99" s="126">
        <f>SUM(D99:G99)</f>
        <v>511.59999999999997</v>
      </c>
      <c r="I99" s="358">
        <v>126.6</v>
      </c>
      <c r="J99" s="358">
        <v>130</v>
      </c>
      <c r="K99" s="358">
        <v>128.5</v>
      </c>
      <c r="L99" s="358">
        <v>133.1</v>
      </c>
      <c r="M99" s="126">
        <f>SUM(I99:L99)</f>
        <v>518.20000000000005</v>
      </c>
      <c r="N99" s="358">
        <v>140</v>
      </c>
      <c r="O99" s="358">
        <v>143.4</v>
      </c>
      <c r="P99" s="358">
        <v>129.69999999999999</v>
      </c>
      <c r="Q99" s="358">
        <v>131.6</v>
      </c>
      <c r="R99" s="126">
        <f>SUM(N99:Q99)</f>
        <v>544.69999999999993</v>
      </c>
      <c r="S99" s="358">
        <v>133.1</v>
      </c>
      <c r="T99" s="358">
        <v>133.4</v>
      </c>
      <c r="U99" s="358">
        <v>125</v>
      </c>
      <c r="V99" s="358">
        <f>(U99/(U66+U99+U114+U127))*'CFS (Base-Case)'!V7*0.95</f>
        <v>129.33440412063263</v>
      </c>
      <c r="W99" s="126">
        <f>SUM(S99:V99)</f>
        <v>520.8344041206326</v>
      </c>
      <c r="X99" s="358">
        <f>(V99/(V66+V99+V114+V127))*'CFS (Base-Case)'!X7*0.95</f>
        <v>131.48195836795102</v>
      </c>
      <c r="Y99" s="358">
        <f>(X99/(X66+X99+X114+X127))*'CFS (Base-Case)'!Y7*0.95</f>
        <v>137.11284554911151</v>
      </c>
      <c r="Z99" s="358">
        <f>(Y99/(Y66+Y99+Y114+Y127))*'CFS (Base-Case)'!Z7*0.95</f>
        <v>141.81247257079306</v>
      </c>
      <c r="AA99" s="358">
        <f>(Z99/(Z66+Z99+Z114+Z127))*'CFS (Base-Case)'!AA7*0.95</f>
        <v>147.47952059376973</v>
      </c>
      <c r="AB99" s="126">
        <f>SUM(X99:AA99)</f>
        <v>557.88679708162533</v>
      </c>
      <c r="AC99" s="358">
        <f>(AA99/(AA66+AA99+AA114+AA127))*'CFS (Base-Case)'!AC7*0.95</f>
        <v>153.21835092495499</v>
      </c>
      <c r="AD99" s="358">
        <f>(AC99/(AC66+AC99+AC114+AC127))*'CFS (Base-Case)'!AD7*0.95</f>
        <v>157.66606310175129</v>
      </c>
      <c r="AE99" s="358">
        <f>(AD99/(AD66+AD99+AD114+AD127))*'CFS (Base-Case)'!AE7*0.95</f>
        <v>161.06706535455726</v>
      </c>
      <c r="AF99" s="358">
        <f>(AE99/(AE66+AE99+AE114+AE127))*'CFS (Base-Case)'!AF7*0.95</f>
        <v>165.52142473907296</v>
      </c>
      <c r="AG99" s="126">
        <f>SUM(AC99:AF99)</f>
        <v>637.47290412033647</v>
      </c>
      <c r="AH99" s="358">
        <f>(AF99/(AF66+AF99+AF114+AF127))*'CFS (Base-Case)'!AH7*0.95</f>
        <v>170.08552096742056</v>
      </c>
      <c r="AI99" s="358">
        <f>(AH99/(AH66+AH99+AH114+AH127))*'CFS (Base-Case)'!AI7*0.95</f>
        <v>173.49384498684756</v>
      </c>
      <c r="AJ99" s="358">
        <f>(AI99/(AI66+AI99+AI114+AI127))*'CFS (Base-Case)'!AJ7*0.95</f>
        <v>175.93303513781927</v>
      </c>
      <c r="AK99" s="358">
        <f>(AJ99/(AJ66+AJ99+AJ114+AJ127))*'CFS (Base-Case)'!AK7*0.95</f>
        <v>179.48285467565046</v>
      </c>
      <c r="AL99" s="126">
        <f>SUM(AH99:AK99)</f>
        <v>698.99525576773794</v>
      </c>
      <c r="AM99" s="358">
        <f>(AK99/(AK66+AK99+AK114+AK127))*'CFS (Base-Case)'!AM7*0.95</f>
        <v>183.21610562005392</v>
      </c>
      <c r="AN99" s="358">
        <f>(AM99/(AM66+AM99+AM114+AM127))*'CFS (Base-Case)'!AN7*0.95</f>
        <v>187.20214041931018</v>
      </c>
      <c r="AO99" s="358">
        <f>(AN99/(AN66+AN99+AN114+AN127))*'CFS (Base-Case)'!AO7*0.95</f>
        <v>190.03862637595518</v>
      </c>
      <c r="AP99" s="358">
        <f>(AO99/(AO66+AO99+AO114+AO127))*'CFS (Base-Case)'!AP7*0.95</f>
        <v>194.02042430183801</v>
      </c>
      <c r="AQ99" s="126">
        <f>SUM(AM99:AP99)</f>
        <v>754.4772967171574</v>
      </c>
      <c r="AR99" s="358">
        <f>(AP99/(AP66+AP99+AP114+AP127))*'CFS (Base-Case)'!AR7*0.95</f>
        <v>198.14635433644253</v>
      </c>
      <c r="AS99" s="358">
        <f>(AR99/(AR66+AR99+AR114+AR127))*'CFS (Base-Case)'!AS7*0.95</f>
        <v>202.20902878533059</v>
      </c>
      <c r="AT99" s="358">
        <f>(AS99/(AS66+AS99+AS114+AS127))*'CFS (Base-Case)'!AT7*0.95</f>
        <v>205.04768632794284</v>
      </c>
      <c r="AU99" s="358">
        <f>(AT99/(AT66+AT99+AT114+AT127))*'CFS (Base-Case)'!AU7*0.95</f>
        <v>209.11206844759425</v>
      </c>
      <c r="AV99" s="126">
        <f>SUM(AR99:AU99)</f>
        <v>814.5151378973103</v>
      </c>
    </row>
    <row r="100" spans="1:48" outlineLevel="1" x14ac:dyDescent="0.3">
      <c r="B100" s="180" t="s">
        <v>35</v>
      </c>
      <c r="C100" s="18"/>
      <c r="D100" s="105">
        <v>69.3</v>
      </c>
      <c r="E100" s="105">
        <v>80.2</v>
      </c>
      <c r="F100" s="105">
        <v>86</v>
      </c>
      <c r="G100" s="105">
        <v>82.4</v>
      </c>
      <c r="H100" s="170">
        <f>SUM(D100:G100)</f>
        <v>317.89999999999998</v>
      </c>
      <c r="I100" s="105">
        <v>67.2</v>
      </c>
      <c r="J100" s="105">
        <v>63.7</v>
      </c>
      <c r="K100" s="105">
        <v>66.099999999999994</v>
      </c>
      <c r="L100" s="105">
        <v>84.5</v>
      </c>
      <c r="M100" s="170">
        <f>SUM(I100:L100)</f>
        <v>281.5</v>
      </c>
      <c r="N100" s="105">
        <v>82.6</v>
      </c>
      <c r="O100" s="105">
        <v>79.8</v>
      </c>
      <c r="P100" s="105">
        <v>92.3</v>
      </c>
      <c r="Q100" s="105">
        <v>98.4</v>
      </c>
      <c r="R100" s="49">
        <f>SUM(N100:Q100)</f>
        <v>353.1</v>
      </c>
      <c r="S100" s="48">
        <v>91.3</v>
      </c>
      <c r="T100" s="48">
        <v>79.599999999999994</v>
      </c>
      <c r="U100" s="48">
        <v>81.8</v>
      </c>
      <c r="V100" s="48">
        <f t="shared" ref="V100" si="407">V101*V92</f>
        <v>93.721868692750746</v>
      </c>
      <c r="W100" s="49">
        <f>SUM(S100:V100)</f>
        <v>346.42186869275076</v>
      </c>
      <c r="X100" s="48">
        <f>X101*X92</f>
        <v>90.496851975741492</v>
      </c>
      <c r="Y100" s="48">
        <f>Y101*Y92</f>
        <v>87.259238485240132</v>
      </c>
      <c r="Z100" s="48">
        <f t="shared" ref="Z100:AA100" si="408">Z101*Z92</f>
        <v>98.432755978184503</v>
      </c>
      <c r="AA100" s="48">
        <f t="shared" si="408"/>
        <v>113.61115242876841</v>
      </c>
      <c r="AB100" s="49">
        <f>SUM(X100:AA100)</f>
        <v>389.79999886793451</v>
      </c>
      <c r="AC100" s="48">
        <f>AC101*AC92</f>
        <v>110.4947990385448</v>
      </c>
      <c r="AD100" s="48">
        <f>AD101*AD92</f>
        <v>102.22174750137135</v>
      </c>
      <c r="AE100" s="48">
        <f t="shared" ref="AE100:AF100" si="409">AE101*AE92</f>
        <v>115.05242724534155</v>
      </c>
      <c r="AF100" s="48">
        <f t="shared" si="409"/>
        <v>132.70203906950712</v>
      </c>
      <c r="AG100" s="49">
        <f>SUM(AC100:AF100)</f>
        <v>460.47101285476481</v>
      </c>
      <c r="AH100" s="48">
        <f>AH101*AH92</f>
        <v>123.30433466794348</v>
      </c>
      <c r="AI100" s="48">
        <f>AI101*AI92</f>
        <v>113.89053783193276</v>
      </c>
      <c r="AJ100" s="48">
        <f t="shared" ref="AJ100:AK100" si="410">AJ101*AJ92</f>
        <v>127.86214467949708</v>
      </c>
      <c r="AK100" s="48">
        <f t="shared" si="410"/>
        <v>147.34896642278375</v>
      </c>
      <c r="AL100" s="49">
        <f>SUM(AH100:AK100)</f>
        <v>512.40598360215699</v>
      </c>
      <c r="AM100" s="48">
        <f>AM101*AM92</f>
        <v>141.74439157732732</v>
      </c>
      <c r="AN100" s="48">
        <f>AN101*AN92</f>
        <v>128.91208089382152</v>
      </c>
      <c r="AO100" s="48">
        <f t="shared" ref="AO100:AP100" si="411">AO101*AO92</f>
        <v>142.59973295142225</v>
      </c>
      <c r="AP100" s="48">
        <f t="shared" si="411"/>
        <v>162.19212449112385</v>
      </c>
      <c r="AQ100" s="49">
        <f>SUM(AM100:AP100)</f>
        <v>575.44832991369492</v>
      </c>
      <c r="AR100" s="48">
        <f>AR101*AR92</f>
        <v>151.95249823529826</v>
      </c>
      <c r="AS100" s="48">
        <f>AS101*AS92</f>
        <v>138.05320404082451</v>
      </c>
      <c r="AT100" s="48">
        <f t="shared" ref="AT100:AU100" si="412">AT101*AT92</f>
        <v>152.59984000449813</v>
      </c>
      <c r="AU100" s="48">
        <f t="shared" si="412"/>
        <v>173.66290871370268</v>
      </c>
      <c r="AV100" s="49">
        <f>SUM(AR100:AU100)</f>
        <v>616.26845099432353</v>
      </c>
    </row>
    <row r="101" spans="1:48" s="184" customFormat="1" outlineLevel="1" x14ac:dyDescent="0.3">
      <c r="B101" s="181" t="s">
        <v>153</v>
      </c>
      <c r="C101" s="190"/>
      <c r="D101" s="167">
        <f>D100/D92</f>
        <v>4.6077127659574467E-2</v>
      </c>
      <c r="E101" s="167">
        <f t="shared" ref="E101:Q101" si="413">E100/E92</f>
        <v>5.2438864914345497E-2</v>
      </c>
      <c r="F101" s="167">
        <f t="shared" si="413"/>
        <v>5.4248407241531571E-2</v>
      </c>
      <c r="G101" s="167">
        <f t="shared" si="413"/>
        <v>5.2413968577062528E-2</v>
      </c>
      <c r="H101" s="186">
        <f t="shared" si="413"/>
        <v>5.1350390902629703E-2</v>
      </c>
      <c r="I101" s="167">
        <f t="shared" si="413"/>
        <v>4.277257972121444E-2</v>
      </c>
      <c r="J101" s="167">
        <f t="shared" si="413"/>
        <v>5.6143134144191795E-2</v>
      </c>
      <c r="K101" s="167">
        <f t="shared" si="413"/>
        <v>6.9608256107834873E-2</v>
      </c>
      <c r="L101" s="167">
        <f t="shared" si="413"/>
        <v>5.5912128630979954E-2</v>
      </c>
      <c r="M101" s="186">
        <f t="shared" si="413"/>
        <v>5.4484573994503162E-2</v>
      </c>
      <c r="N101" s="167">
        <f t="shared" si="413"/>
        <v>4.9930484192709908E-2</v>
      </c>
      <c r="O101" s="167">
        <f t="shared" si="413"/>
        <v>4.9537525606803648E-2</v>
      </c>
      <c r="P101" s="167">
        <f t="shared" si="413"/>
        <v>5.5656054027978775E-2</v>
      </c>
      <c r="Q101" s="167">
        <f t="shared" si="413"/>
        <v>5.139454716389847E-2</v>
      </c>
      <c r="R101" s="188">
        <f t="shared" ref="R101:U101" si="414">R100/R92</f>
        <v>5.1636395542686682E-2</v>
      </c>
      <c r="S101" s="167">
        <f t="shared" si="414"/>
        <v>4.8669971746894823E-2</v>
      </c>
      <c r="T101" s="167">
        <f t="shared" si="414"/>
        <v>4.6757518796992477E-2</v>
      </c>
      <c r="U101" s="167">
        <f t="shared" si="414"/>
        <v>5.1618602890136929E-2</v>
      </c>
      <c r="V101" s="189">
        <f>Q101</f>
        <v>5.139454716389847E-2</v>
      </c>
      <c r="W101" s="188">
        <f t="shared" ref="W101" si="415">W100/W92</f>
        <v>4.9583925366117061E-2</v>
      </c>
      <c r="X101" s="189">
        <f>S101</f>
        <v>4.8669971746894823E-2</v>
      </c>
      <c r="Y101" s="189">
        <f t="shared" ref="Y101" si="416">T101</f>
        <v>4.6757518796992477E-2</v>
      </c>
      <c r="Z101" s="189">
        <f>U101-0.5%</f>
        <v>4.6618602890136931E-2</v>
      </c>
      <c r="AA101" s="189">
        <f>V101-0.5%</f>
        <v>4.6394547163898472E-2</v>
      </c>
      <c r="AB101" s="188">
        <f t="shared" ref="AB101" si="417">AB100/AB92</f>
        <v>4.7044013125674251E-2</v>
      </c>
      <c r="AC101" s="189">
        <f>X101-0.3%</f>
        <v>4.566997174689482E-2</v>
      </c>
      <c r="AD101" s="189">
        <f t="shared" ref="AD101" si="418">Y101</f>
        <v>4.6757518796992477E-2</v>
      </c>
      <c r="AE101" s="189">
        <f t="shared" ref="AE101" si="419">Z101</f>
        <v>4.6618602890136931E-2</v>
      </c>
      <c r="AF101" s="189">
        <f t="shared" ref="AF101" si="420">AA101</f>
        <v>4.6394547163898472E-2</v>
      </c>
      <c r="AG101" s="188">
        <f t="shared" ref="AG101" si="421">AG100/AG92</f>
        <v>4.6353620445717711E-2</v>
      </c>
      <c r="AH101" s="189">
        <f>AC101-0.2%</f>
        <v>4.3669971746894819E-2</v>
      </c>
      <c r="AI101" s="189">
        <f>AD101-0.2%</f>
        <v>4.4757518796992475E-2</v>
      </c>
      <c r="AJ101" s="189">
        <f>AE101-0.2%</f>
        <v>4.461860289013693E-2</v>
      </c>
      <c r="AK101" s="189">
        <f>AF101-0.2%</f>
        <v>4.4394547163898471E-2</v>
      </c>
      <c r="AL101" s="188">
        <f t="shared" ref="AL101" si="422">AL100/AL92</f>
        <v>4.4352983344493897E-2</v>
      </c>
      <c r="AM101" s="189">
        <f>AH101</f>
        <v>4.3669971746894819E-2</v>
      </c>
      <c r="AN101" s="189">
        <f t="shared" ref="AN101" si="423">AI101</f>
        <v>4.4757518796992475E-2</v>
      </c>
      <c r="AO101" s="189">
        <f t="shared" ref="AO101" si="424">AJ101</f>
        <v>4.461860289013693E-2</v>
      </c>
      <c r="AP101" s="189">
        <f t="shared" ref="AP101" si="425">AK101</f>
        <v>4.4394547163898471E-2</v>
      </c>
      <c r="AQ101" s="188">
        <f t="shared" ref="AQ101" si="426">AQ100/AQ92</f>
        <v>4.4349052344689145E-2</v>
      </c>
      <c r="AR101" s="189">
        <f>AM101</f>
        <v>4.3669971746894819E-2</v>
      </c>
      <c r="AS101" s="189">
        <f t="shared" ref="AS101" si="427">AN101</f>
        <v>4.4757518796992475E-2</v>
      </c>
      <c r="AT101" s="189">
        <f t="shared" ref="AT101" si="428">AO101</f>
        <v>4.461860289013693E-2</v>
      </c>
      <c r="AU101" s="189">
        <f t="shared" ref="AU101" si="429">AP101</f>
        <v>4.4394547163898471E-2</v>
      </c>
      <c r="AV101" s="188">
        <f t="shared" ref="AV101" si="430">AV100/AV92</f>
        <v>4.4348825852099587E-2</v>
      </c>
    </row>
    <row r="102" spans="1:48" ht="16.2" outlineLevel="1" x14ac:dyDescent="0.45">
      <c r="B102" s="180" t="s">
        <v>42</v>
      </c>
      <c r="C102" s="18"/>
      <c r="D102" s="119">
        <v>6.4</v>
      </c>
      <c r="E102" s="119">
        <v>24.2</v>
      </c>
      <c r="F102" s="119">
        <v>16.600000000000001</v>
      </c>
      <c r="G102" s="119">
        <v>12</v>
      </c>
      <c r="H102" s="131">
        <f>SUM(D102:G102)</f>
        <v>59.2</v>
      </c>
      <c r="I102" s="119">
        <v>0.8</v>
      </c>
      <c r="J102" s="119">
        <v>-1.2</v>
      </c>
      <c r="K102" s="119">
        <v>-0.2</v>
      </c>
      <c r="L102" s="119">
        <v>-0.6</v>
      </c>
      <c r="M102" s="131">
        <f>SUM(I102:L102)</f>
        <v>-1.1999999999999997</v>
      </c>
      <c r="N102" s="119">
        <v>0</v>
      </c>
      <c r="O102" s="119">
        <v>0</v>
      </c>
      <c r="P102" s="119">
        <v>0</v>
      </c>
      <c r="Q102" s="119">
        <v>0</v>
      </c>
      <c r="R102" s="131">
        <f>SUM(N102:Q102)</f>
        <v>0</v>
      </c>
      <c r="S102" s="119">
        <v>0</v>
      </c>
      <c r="T102" s="119">
        <v>0</v>
      </c>
      <c r="U102" s="119">
        <v>0</v>
      </c>
      <c r="V102" s="119">
        <f>IFERROR((V163*(U102/U163)),0)</f>
        <v>0</v>
      </c>
      <c r="W102" s="131">
        <f>SUM(S102:V102)</f>
        <v>0</v>
      </c>
      <c r="X102" s="119">
        <f>IFERROR((X163*(V102/V163)),0)</f>
        <v>0</v>
      </c>
      <c r="Y102" s="119">
        <f t="shared" ref="Y102:AA102" si="431">IFERROR((Y163*(X102/X163)),0)</f>
        <v>0</v>
      </c>
      <c r="Z102" s="119">
        <f t="shared" si="431"/>
        <v>0</v>
      </c>
      <c r="AA102" s="119">
        <f t="shared" si="431"/>
        <v>0</v>
      </c>
      <c r="AB102" s="131">
        <f>SUM(X102:AA102)</f>
        <v>0</v>
      </c>
      <c r="AC102" s="119">
        <f>IFERROR((AC163*(AA102/AA163)),0)</f>
        <v>0</v>
      </c>
      <c r="AD102" s="119">
        <f t="shared" ref="AD102:AF102" si="432">IFERROR((AD163*(AC102/AC163)),0)</f>
        <v>0</v>
      </c>
      <c r="AE102" s="119">
        <f t="shared" si="432"/>
        <v>0</v>
      </c>
      <c r="AF102" s="119">
        <f t="shared" si="432"/>
        <v>0</v>
      </c>
      <c r="AG102" s="131">
        <f>SUM(AC102:AF102)</f>
        <v>0</v>
      </c>
      <c r="AH102" s="119">
        <f>IFERROR((AH163*(AF102/AF163)),0)</f>
        <v>0</v>
      </c>
      <c r="AI102" s="119">
        <f t="shared" ref="AI102:AK102" si="433">IFERROR((AI163*(AH102/AH163)),0)</f>
        <v>0</v>
      </c>
      <c r="AJ102" s="119">
        <f t="shared" si="433"/>
        <v>0</v>
      </c>
      <c r="AK102" s="119">
        <f t="shared" si="433"/>
        <v>0</v>
      </c>
      <c r="AL102" s="131">
        <f>SUM(AH102:AK102)</f>
        <v>0</v>
      </c>
      <c r="AM102" s="119">
        <f>IFERROR((AM163*(AK102/AK163)),0)</f>
        <v>0</v>
      </c>
      <c r="AN102" s="119">
        <f t="shared" ref="AN102:AP102" si="434">IFERROR((AN163*(AM102/AM163)),0)</f>
        <v>0</v>
      </c>
      <c r="AO102" s="119">
        <f t="shared" si="434"/>
        <v>0</v>
      </c>
      <c r="AP102" s="119">
        <f t="shared" si="434"/>
        <v>0</v>
      </c>
      <c r="AQ102" s="131">
        <f>SUM(AM102:AP102)</f>
        <v>0</v>
      </c>
      <c r="AR102" s="119">
        <f>IFERROR((AR163*(AP102/AP163)),0)</f>
        <v>0</v>
      </c>
      <c r="AS102" s="119">
        <f t="shared" ref="AS102:AU102" si="435">IFERROR((AS163*(AR102/AR163)),0)</f>
        <v>0</v>
      </c>
      <c r="AT102" s="119">
        <f t="shared" si="435"/>
        <v>0</v>
      </c>
      <c r="AU102" s="119">
        <f t="shared" si="435"/>
        <v>0</v>
      </c>
      <c r="AV102" s="131">
        <f>SUM(AR102:AU102)</f>
        <v>0</v>
      </c>
    </row>
    <row r="103" spans="1:48" outlineLevel="1" x14ac:dyDescent="0.3">
      <c r="B103" s="46" t="s">
        <v>123</v>
      </c>
      <c r="C103" s="19"/>
      <c r="D103" s="103">
        <f>D93+D95+D97+D99+D100+D102</f>
        <v>1300.4000000000001</v>
      </c>
      <c r="E103" s="103">
        <f t="shared" ref="E103:G103" si="436">E93+E95+E97+E99+E100+E102</f>
        <v>1349.7</v>
      </c>
      <c r="F103" s="103">
        <f t="shared" si="436"/>
        <v>1342.3000000000002</v>
      </c>
      <c r="G103" s="103">
        <f t="shared" si="436"/>
        <v>1336.2000000000003</v>
      </c>
      <c r="H103" s="171">
        <f>H93+H95+H97+H99+H100+H102</f>
        <v>5328.5999999999995</v>
      </c>
      <c r="I103" s="103">
        <f>I93+I95+I97+I99+I100+I102</f>
        <v>1326.1</v>
      </c>
      <c r="J103" s="103">
        <f t="shared" ref="J103:L103" si="437">J93+J95+J97+J99+J100+J102</f>
        <v>1174.8</v>
      </c>
      <c r="K103" s="103">
        <f t="shared" si="437"/>
        <v>1052.9999999999998</v>
      </c>
      <c r="L103" s="103">
        <f t="shared" si="437"/>
        <v>1358.8000000000002</v>
      </c>
      <c r="M103" s="171">
        <f>M93+M95+M97+M99+M100+M102</f>
        <v>4912.7000000000007</v>
      </c>
      <c r="N103" s="103">
        <f>N93+N95+N97+N99+N100+N102</f>
        <v>1405.8</v>
      </c>
      <c r="O103" s="103">
        <f t="shared" ref="O103:P103" si="438">O93+O95+O97+O99+O100+O102</f>
        <v>1386.2</v>
      </c>
      <c r="P103" s="103">
        <f t="shared" si="438"/>
        <v>1382.1</v>
      </c>
      <c r="Q103" s="103">
        <f>Q93+Q95+Q97+Q99+Q100+Q102</f>
        <v>1577.5</v>
      </c>
      <c r="R103" s="171">
        <f>R93+R95+R97+R99+R100+R102</f>
        <v>5751.6</v>
      </c>
      <c r="S103" s="103">
        <f>S93+S95+S97+S99+S100+S102</f>
        <v>1577</v>
      </c>
      <c r="T103" s="103">
        <f t="shared" ref="T103:V103" si="439">T93+T95+T97+T99+T100+T102</f>
        <v>1522.3</v>
      </c>
      <c r="U103" s="103">
        <f t="shared" si="439"/>
        <v>1449.8</v>
      </c>
      <c r="V103" s="103">
        <f t="shared" si="439"/>
        <v>1579.8379843847188</v>
      </c>
      <c r="W103" s="171">
        <f>W93+W95+W97+W99+W100+W102</f>
        <v>6128.9379843847191</v>
      </c>
      <c r="X103" s="103">
        <f>X93+X95+X97+X99+X100+X102</f>
        <v>1587.0342091461987</v>
      </c>
      <c r="Y103" s="103">
        <f t="shared" ref="Y103:AA103" si="440">Y93+Y95+Y97+Y99+Y100+Y102</f>
        <v>1596.782463139049</v>
      </c>
      <c r="Z103" s="103">
        <f t="shared" si="440"/>
        <v>1878.1948918136563</v>
      </c>
      <c r="AA103" s="103">
        <f t="shared" si="440"/>
        <v>2070.1635515277358</v>
      </c>
      <c r="AB103" s="171">
        <f>AB93+AB95+AB97+AB99+AB100+AB102</f>
        <v>7132.1751156266409</v>
      </c>
      <c r="AC103" s="103">
        <f>AC93+AC95+AC97+AC99+AC100+AC102</f>
        <v>2026.1186361052557</v>
      </c>
      <c r="AD103" s="103">
        <f t="shared" ref="AD103:AF103" si="441">AD93+AD95+AD97+AD99+AD100+AD102</f>
        <v>1796.8255856620358</v>
      </c>
      <c r="AE103" s="103">
        <f t="shared" si="441"/>
        <v>2185.5720503702723</v>
      </c>
      <c r="AF103" s="103">
        <f t="shared" si="441"/>
        <v>2417.6793930851773</v>
      </c>
      <c r="AG103" s="171">
        <f>AG93+AG95+AG97+AG99+AG100+AG102</f>
        <v>8426.19566522274</v>
      </c>
      <c r="AH103" s="103">
        <f>AH93+AH95+AH97+AH99+AH100+AH102</f>
        <v>2339.5336485850967</v>
      </c>
      <c r="AI103" s="103">
        <f t="shared" ref="AI103:AK103" si="442">AI93+AI95+AI97+AI99+AI100+AI102</f>
        <v>2067.3158988910091</v>
      </c>
      <c r="AJ103" s="103">
        <f t="shared" si="442"/>
        <v>2438.8561947658118</v>
      </c>
      <c r="AK103" s="103">
        <f t="shared" si="442"/>
        <v>2773.6324308062772</v>
      </c>
      <c r="AL103" s="171">
        <f>AL93+AL95+AL97+AL99+AL100+AL102</f>
        <v>9619.3381730481942</v>
      </c>
      <c r="AM103" s="103">
        <f>AM93+AM95+AM97+AM99+AM100+AM102</f>
        <v>2683.7615996868772</v>
      </c>
      <c r="AN103" s="103">
        <f t="shared" ref="AN103:AP103" si="443">AN93+AN95+AN97+AN99+AN100+AN102</f>
        <v>2337.0513382828249</v>
      </c>
      <c r="AO103" s="103">
        <f t="shared" si="443"/>
        <v>2721.5503458509424</v>
      </c>
      <c r="AP103" s="103">
        <f t="shared" si="443"/>
        <v>3056.8235248877791</v>
      </c>
      <c r="AQ103" s="171">
        <f>AQ93+AQ95+AQ97+AQ99+AQ100+AQ102</f>
        <v>10799.186808708426</v>
      </c>
      <c r="AR103" s="103">
        <f>AR93+AR95+AR97+AR99+AR100+AR102</f>
        <v>2885.8996904838027</v>
      </c>
      <c r="AS103" s="103">
        <f t="shared" ref="AS103:AU103" si="444">AS93+AS95+AS97+AS99+AS100+AS102</f>
        <v>2511.2577821388231</v>
      </c>
      <c r="AT103" s="103">
        <f t="shared" si="444"/>
        <v>2922.3318914391298</v>
      </c>
      <c r="AU103" s="103">
        <f t="shared" si="444"/>
        <v>3281.9633891710091</v>
      </c>
      <c r="AV103" s="171">
        <f>AV93+AV95+AV97+AV99+AV100+AV102</f>
        <v>11601.452753232761</v>
      </c>
    </row>
    <row r="104" spans="1:48" ht="16.2" outlineLevel="1" x14ac:dyDescent="0.45">
      <c r="B104" s="180" t="s">
        <v>36</v>
      </c>
      <c r="C104" s="18"/>
      <c r="D104" s="119">
        <v>26.4</v>
      </c>
      <c r="E104" s="104">
        <v>22.1</v>
      </c>
      <c r="F104" s="104">
        <v>27.2</v>
      </c>
      <c r="G104" s="104">
        <v>26.8</v>
      </c>
      <c r="H104" s="214">
        <f>SUM(D104:G104)</f>
        <v>102.5</v>
      </c>
      <c r="I104" s="104">
        <v>30.9</v>
      </c>
      <c r="J104" s="104">
        <v>24.8</v>
      </c>
      <c r="K104" s="104">
        <v>17.399999999999999</v>
      </c>
      <c r="L104" s="104">
        <v>29.2</v>
      </c>
      <c r="M104" s="214">
        <f>SUM(I104:L104)</f>
        <v>102.3</v>
      </c>
      <c r="N104" s="104">
        <v>26.3</v>
      </c>
      <c r="O104" s="104">
        <v>26.8</v>
      </c>
      <c r="P104" s="104">
        <v>42</v>
      </c>
      <c r="Q104" s="104">
        <v>40.299999999999997</v>
      </c>
      <c r="R104" s="193">
        <f>SUM(N104:Q104)</f>
        <v>135.39999999999998</v>
      </c>
      <c r="S104" s="104">
        <v>0.7</v>
      </c>
      <c r="T104" s="104">
        <v>0.6</v>
      </c>
      <c r="U104" s="104">
        <v>0.4</v>
      </c>
      <c r="V104" s="56">
        <v>0.4</v>
      </c>
      <c r="W104" s="193">
        <f>SUM(S104:V104)</f>
        <v>2.0999999999999996</v>
      </c>
      <c r="X104" s="56">
        <v>0.4</v>
      </c>
      <c r="Y104" s="56">
        <v>0.5</v>
      </c>
      <c r="Z104" s="56">
        <v>0.6</v>
      </c>
      <c r="AA104" s="56">
        <v>0.7</v>
      </c>
      <c r="AB104" s="193">
        <f>SUM(X104:AA104)</f>
        <v>2.2000000000000002</v>
      </c>
      <c r="AC104" s="56">
        <v>1</v>
      </c>
      <c r="AD104" s="56">
        <v>1</v>
      </c>
      <c r="AE104" s="56">
        <v>1</v>
      </c>
      <c r="AF104" s="56">
        <v>1</v>
      </c>
      <c r="AG104" s="193">
        <f>SUM(AC104:AF104)</f>
        <v>4</v>
      </c>
      <c r="AH104" s="56">
        <v>1</v>
      </c>
      <c r="AI104" s="56">
        <v>1</v>
      </c>
      <c r="AJ104" s="56">
        <v>1</v>
      </c>
      <c r="AK104" s="56">
        <v>1</v>
      </c>
      <c r="AL104" s="193">
        <f>SUM(AH104:AK104)</f>
        <v>4</v>
      </c>
      <c r="AM104" s="56">
        <v>1</v>
      </c>
      <c r="AN104" s="56">
        <v>1</v>
      </c>
      <c r="AO104" s="56">
        <v>1</v>
      </c>
      <c r="AP104" s="56">
        <v>1</v>
      </c>
      <c r="AQ104" s="193">
        <f>SUM(AM104:AP104)</f>
        <v>4</v>
      </c>
      <c r="AR104" s="56">
        <v>1</v>
      </c>
      <c r="AS104" s="56">
        <v>1</v>
      </c>
      <c r="AT104" s="56">
        <v>1</v>
      </c>
      <c r="AU104" s="56">
        <v>1</v>
      </c>
      <c r="AV104" s="193">
        <f>SUM(AR104:AU104)</f>
        <v>4</v>
      </c>
    </row>
    <row r="105" spans="1:48" outlineLevel="1" x14ac:dyDescent="0.3">
      <c r="B105" s="46" t="s">
        <v>124</v>
      </c>
      <c r="C105" s="44"/>
      <c r="D105" s="156">
        <f>+D92-D103+D104</f>
        <v>229.99999999999991</v>
      </c>
      <c r="E105" s="156">
        <f t="shared" ref="E105:V105" si="445">+E92-E103+E104</f>
        <v>201.80000000000004</v>
      </c>
      <c r="F105" s="156">
        <f t="shared" si="445"/>
        <v>270.19999999999976</v>
      </c>
      <c r="G105" s="156">
        <f t="shared" si="445"/>
        <v>262.69999999999987</v>
      </c>
      <c r="H105" s="132">
        <f>SUM(D105:G105)</f>
        <v>964.69999999999959</v>
      </c>
      <c r="I105" s="156">
        <f t="shared" si="445"/>
        <v>275.89999999999998</v>
      </c>
      <c r="J105" s="156">
        <f t="shared" si="445"/>
        <v>-15.400000000000045</v>
      </c>
      <c r="K105" s="156">
        <f>+K92-K103+K104</f>
        <v>-85.999999999999744</v>
      </c>
      <c r="L105" s="156">
        <f t="shared" si="445"/>
        <v>181.69999999999976</v>
      </c>
      <c r="M105" s="132">
        <f>SUM(I105:L105)</f>
        <v>356.19999999999993</v>
      </c>
      <c r="N105" s="156">
        <f t="shared" si="445"/>
        <v>274.8</v>
      </c>
      <c r="O105" s="156">
        <f t="shared" si="445"/>
        <v>251.50000000000006</v>
      </c>
      <c r="P105" s="156">
        <f t="shared" si="445"/>
        <v>318.29999999999995</v>
      </c>
      <c r="Q105" s="156">
        <f t="shared" si="445"/>
        <v>377.39999999999992</v>
      </c>
      <c r="R105" s="97">
        <f>SUM(N105:Q105)</f>
        <v>1222</v>
      </c>
      <c r="S105" s="74">
        <f t="shared" si="445"/>
        <v>299.59999999999985</v>
      </c>
      <c r="T105" s="74">
        <f t="shared" si="445"/>
        <v>180.70000000000013</v>
      </c>
      <c r="U105" s="74">
        <f t="shared" si="445"/>
        <v>135.3000000000001</v>
      </c>
      <c r="V105" s="74">
        <f t="shared" si="445"/>
        <v>244.13813146020576</v>
      </c>
      <c r="W105" s="97">
        <f>SUM(S105:V105)</f>
        <v>859.73813146020575</v>
      </c>
      <c r="X105" s="74">
        <f t="shared" ref="X105:AA105" si="446">+X92-X103+X104</f>
        <v>272.76386994792472</v>
      </c>
      <c r="Y105" s="74">
        <f t="shared" si="446"/>
        <v>269.92516999251916</v>
      </c>
      <c r="Z105" s="74">
        <f t="shared" si="446"/>
        <v>233.85311125401731</v>
      </c>
      <c r="AA105" s="74">
        <f t="shared" si="446"/>
        <v>379.34044320494621</v>
      </c>
      <c r="AB105" s="97">
        <f>SUM(X105:AA105)</f>
        <v>1155.8825943994075</v>
      </c>
      <c r="AC105" s="74">
        <f t="shared" ref="AC105:AF105" si="447">+AC92-AC103+AC104</f>
        <v>394.30040034417084</v>
      </c>
      <c r="AD105" s="74">
        <f t="shared" si="447"/>
        <v>390.38425034719285</v>
      </c>
      <c r="AE105" s="74">
        <f t="shared" si="447"/>
        <v>283.37894156481889</v>
      </c>
      <c r="AF105" s="74">
        <f t="shared" si="447"/>
        <v>443.61448155292055</v>
      </c>
      <c r="AG105" s="97">
        <f>SUM(AC105:AF105)</f>
        <v>1511.6780738091031</v>
      </c>
      <c r="AH105" s="74">
        <f t="shared" ref="AH105:AK105" si="448">+AH92-AH103+AH104</f>
        <v>485.01602950030565</v>
      </c>
      <c r="AI105" s="74">
        <f t="shared" si="448"/>
        <v>478.29651245619334</v>
      </c>
      <c r="AJ105" s="74">
        <f t="shared" si="448"/>
        <v>427.81275041224035</v>
      </c>
      <c r="AK105" s="74">
        <f t="shared" si="448"/>
        <v>546.44560548480013</v>
      </c>
      <c r="AL105" s="97">
        <f>SUM(AH105:AK105)</f>
        <v>1937.5708978535395</v>
      </c>
      <c r="AM105" s="74">
        <f t="shared" ref="AM105:AP105" si="449">+AM92-AM103+AM104</f>
        <v>563.04749766858777</v>
      </c>
      <c r="AN105" s="74">
        <f t="shared" si="449"/>
        <v>544.1816227651384</v>
      </c>
      <c r="AO105" s="74">
        <f t="shared" si="449"/>
        <v>475.42002781901238</v>
      </c>
      <c r="AP105" s="74">
        <f t="shared" si="449"/>
        <v>597.60093493007116</v>
      </c>
      <c r="AQ105" s="97">
        <f>SUM(AM105:AP105)</f>
        <v>2180.2500831828097</v>
      </c>
      <c r="AR105" s="74">
        <f t="shared" ref="AR105:AU105" si="450">+AR92-AR103+AR104</f>
        <v>594.66514908133695</v>
      </c>
      <c r="AS105" s="74">
        <f t="shared" si="450"/>
        <v>574.21177183701366</v>
      </c>
      <c r="AT105" s="74">
        <f t="shared" si="450"/>
        <v>498.76264581566102</v>
      </c>
      <c r="AU105" s="74">
        <f t="shared" si="450"/>
        <v>630.84379905333435</v>
      </c>
      <c r="AV105" s="97">
        <f>SUM(AR105:AU105)</f>
        <v>2298.483365787346</v>
      </c>
    </row>
    <row r="106" spans="1:48" outlineLevel="1" x14ac:dyDescent="0.3">
      <c r="B106" s="46" t="s">
        <v>125</v>
      </c>
      <c r="C106" s="44"/>
      <c r="D106" s="157">
        <f t="shared" ref="D106:G106" si="451">+D105/D92</f>
        <v>0.15292553191489355</v>
      </c>
      <c r="E106" s="157">
        <f t="shared" si="451"/>
        <v>0.1319471688243756</v>
      </c>
      <c r="F106" s="157">
        <f t="shared" si="451"/>
        <v>0.17044092600769556</v>
      </c>
      <c r="G106" s="157">
        <f t="shared" si="451"/>
        <v>0.16710132943196987</v>
      </c>
      <c r="H106" s="133">
        <f>H105/H92</f>
        <v>0.15582800284292814</v>
      </c>
      <c r="I106" s="157">
        <f t="shared" ref="I106:L106" si="452">+I105/I92</f>
        <v>0.17560944561135511</v>
      </c>
      <c r="J106" s="157">
        <f t="shared" si="452"/>
        <v>-1.3573065397496956E-2</v>
      </c>
      <c r="K106" s="157">
        <f t="shared" si="452"/>
        <v>-9.0564448188710761E-2</v>
      </c>
      <c r="L106" s="157">
        <f t="shared" si="452"/>
        <v>0.12022761860649757</v>
      </c>
      <c r="M106" s="133">
        <f>M105/M92</f>
        <v>6.8942825068710564E-2</v>
      </c>
      <c r="N106" s="157">
        <f t="shared" ref="N106:Q106" si="453">+N105/N92</f>
        <v>0.16611255515928189</v>
      </c>
      <c r="O106" s="157">
        <f t="shared" si="453"/>
        <v>0.1561239058911168</v>
      </c>
      <c r="P106" s="157">
        <f t="shared" si="453"/>
        <v>0.19193198263386396</v>
      </c>
      <c r="Q106" s="157">
        <f t="shared" si="453"/>
        <v>0.19711689125665932</v>
      </c>
      <c r="R106" s="98">
        <f>R105/R92</f>
        <v>0.17870199760170807</v>
      </c>
      <c r="S106" s="75">
        <f t="shared" ref="S106:V106" si="454">+S105/S92</f>
        <v>0.15971000586385195</v>
      </c>
      <c r="T106" s="75">
        <f t="shared" si="454"/>
        <v>0.1061442669172933</v>
      </c>
      <c r="U106" s="75">
        <f t="shared" si="454"/>
        <v>8.5378936076228998E-2</v>
      </c>
      <c r="V106" s="75">
        <f t="shared" si="454"/>
        <v>0.13387877223160949</v>
      </c>
      <c r="W106" s="98">
        <f>W105/W92</f>
        <v>0.12305571673518267</v>
      </c>
      <c r="X106" s="75">
        <f t="shared" ref="X106:AA106" si="455">+X105/X92</f>
        <v>0.14669471428130765</v>
      </c>
      <c r="Y106" s="75">
        <f t="shared" si="455"/>
        <v>0.14463833777143775</v>
      </c>
      <c r="Z106" s="75">
        <f t="shared" si="455"/>
        <v>0.11075485207983221</v>
      </c>
      <c r="AA106" s="75">
        <f t="shared" si="455"/>
        <v>0.1549084549114173</v>
      </c>
      <c r="AB106" s="98">
        <f>AB105/AB92</f>
        <v>0.13950065700510009</v>
      </c>
      <c r="AC106" s="75">
        <f t="shared" ref="AC106:AF106" si="456">+AC105/AC92</f>
        <v>0.16297317430502617</v>
      </c>
      <c r="AD106" s="75">
        <f t="shared" si="456"/>
        <v>0.17856668830097833</v>
      </c>
      <c r="AE106" s="75">
        <f t="shared" si="456"/>
        <v>0.11482356922437296</v>
      </c>
      <c r="AF106" s="75">
        <f t="shared" si="456"/>
        <v>0.15509402215149987</v>
      </c>
      <c r="AG106" s="98">
        <f>AG105/AG92</f>
        <v>0.15217407765809102</v>
      </c>
      <c r="AH106" s="75">
        <f t="shared" ref="AH106:AK106" si="457">+AH105/AH92</f>
        <v>0.1717752775043031</v>
      </c>
      <c r="AI106" s="75">
        <f t="shared" si="457"/>
        <v>0.18796438715905156</v>
      </c>
      <c r="AJ106" s="75">
        <f t="shared" si="457"/>
        <v>0.149288964844353</v>
      </c>
      <c r="AK106" s="75">
        <f t="shared" si="457"/>
        <v>0.1646377697390414</v>
      </c>
      <c r="AL106" s="98">
        <f>AL105/AL92</f>
        <v>0.16771281466532892</v>
      </c>
      <c r="AM106" s="75">
        <f t="shared" ref="AM106:AP106" si="458">+AM105/AM92</f>
        <v>0.17346907374414991</v>
      </c>
      <c r="AN106" s="75">
        <f t="shared" si="458"/>
        <v>0.18893666940299847</v>
      </c>
      <c r="AO106" s="75">
        <f t="shared" si="458"/>
        <v>0.148756081012442</v>
      </c>
      <c r="AP106" s="75">
        <f t="shared" si="458"/>
        <v>0.16357281818818992</v>
      </c>
      <c r="AQ106" s="98">
        <f>AQ105/AQ92</f>
        <v>0.16802903064831043</v>
      </c>
      <c r="AR106" s="75">
        <f t="shared" ref="AR106:AU106" si="459">+AR105/AR92</f>
        <v>0.17090216061490479</v>
      </c>
      <c r="AS106" s="75">
        <f t="shared" si="459"/>
        <v>0.18616224339023316</v>
      </c>
      <c r="AT106" s="75">
        <f t="shared" si="459"/>
        <v>0.14583299975561584</v>
      </c>
      <c r="AU106" s="75">
        <f t="shared" si="459"/>
        <v>0.16126658822867199</v>
      </c>
      <c r="AV106" s="98">
        <f>AV105/AV92</f>
        <v>0.16540687479422772</v>
      </c>
    </row>
    <row r="107" spans="1:48" ht="17.399999999999999" x14ac:dyDescent="0.45">
      <c r="B107" s="433" t="s">
        <v>51</v>
      </c>
      <c r="C107" s="434"/>
      <c r="D107" s="14" t="s">
        <v>19</v>
      </c>
      <c r="E107" s="14" t="s">
        <v>81</v>
      </c>
      <c r="F107" s="14" t="s">
        <v>85</v>
      </c>
      <c r="G107" s="14" t="s">
        <v>95</v>
      </c>
      <c r="H107" s="40" t="s">
        <v>96</v>
      </c>
      <c r="I107" s="14" t="s">
        <v>97</v>
      </c>
      <c r="J107" s="14" t="s">
        <v>98</v>
      </c>
      <c r="K107" s="14" t="s">
        <v>99</v>
      </c>
      <c r="L107" s="14" t="s">
        <v>142</v>
      </c>
      <c r="M107" s="40" t="s">
        <v>143</v>
      </c>
      <c r="N107" s="14" t="s">
        <v>149</v>
      </c>
      <c r="O107" s="14" t="s">
        <v>157</v>
      </c>
      <c r="P107" s="14" t="s">
        <v>159</v>
      </c>
      <c r="Q107" s="14" t="s">
        <v>172</v>
      </c>
      <c r="R107" s="40" t="s">
        <v>173</v>
      </c>
      <c r="S107" s="14" t="s">
        <v>188</v>
      </c>
      <c r="T107" s="14" t="s">
        <v>189</v>
      </c>
      <c r="U107" s="14" t="s">
        <v>204</v>
      </c>
      <c r="V107" s="12" t="s">
        <v>25</v>
      </c>
      <c r="W107" s="42" t="s">
        <v>26</v>
      </c>
      <c r="X107" s="12" t="s">
        <v>27</v>
      </c>
      <c r="Y107" s="12" t="s">
        <v>28</v>
      </c>
      <c r="Z107" s="12" t="s">
        <v>29</v>
      </c>
      <c r="AA107" s="12" t="s">
        <v>30</v>
      </c>
      <c r="AB107" s="42" t="s">
        <v>31</v>
      </c>
      <c r="AC107" s="12" t="s">
        <v>90</v>
      </c>
      <c r="AD107" s="12" t="s">
        <v>91</v>
      </c>
      <c r="AE107" s="12" t="s">
        <v>92</v>
      </c>
      <c r="AF107" s="12" t="s">
        <v>93</v>
      </c>
      <c r="AG107" s="42" t="s">
        <v>94</v>
      </c>
      <c r="AH107" s="12" t="s">
        <v>109</v>
      </c>
      <c r="AI107" s="12" t="s">
        <v>110</v>
      </c>
      <c r="AJ107" s="12" t="s">
        <v>111</v>
      </c>
      <c r="AK107" s="12" t="s">
        <v>112</v>
      </c>
      <c r="AL107" s="42" t="s">
        <v>113</v>
      </c>
      <c r="AM107" s="12" t="s">
        <v>164</v>
      </c>
      <c r="AN107" s="12" t="s">
        <v>165</v>
      </c>
      <c r="AO107" s="12" t="s">
        <v>166</v>
      </c>
      <c r="AP107" s="12" t="s">
        <v>167</v>
      </c>
      <c r="AQ107" s="42" t="s">
        <v>168</v>
      </c>
      <c r="AR107" s="12" t="s">
        <v>195</v>
      </c>
      <c r="AS107" s="12" t="s">
        <v>196</v>
      </c>
      <c r="AT107" s="12" t="s">
        <v>197</v>
      </c>
      <c r="AU107" s="12" t="s">
        <v>198</v>
      </c>
      <c r="AV107" s="42" t="s">
        <v>199</v>
      </c>
    </row>
    <row r="108" spans="1:48" s="8" customFormat="1" outlineLevel="1" x14ac:dyDescent="0.3">
      <c r="B108" s="445" t="s">
        <v>126</v>
      </c>
      <c r="C108" s="446"/>
      <c r="D108" s="50">
        <v>504.6</v>
      </c>
      <c r="E108" s="50">
        <v>446.6</v>
      </c>
      <c r="F108" s="103">
        <v>533.29999999999995</v>
      </c>
      <c r="G108" s="50">
        <v>508.1</v>
      </c>
      <c r="H108" s="31">
        <f>SUM(D108:G108)</f>
        <v>1992.6</v>
      </c>
      <c r="I108" s="50">
        <v>494.6</v>
      </c>
      <c r="J108" s="50">
        <v>519.1</v>
      </c>
      <c r="K108" s="50">
        <v>447.3</v>
      </c>
      <c r="L108" s="50">
        <v>464</v>
      </c>
      <c r="M108" s="31">
        <f>SUM(I108:L108)</f>
        <v>1925</v>
      </c>
      <c r="N108" s="50">
        <v>371.4</v>
      </c>
      <c r="O108" s="50">
        <v>369.9</v>
      </c>
      <c r="P108" s="50">
        <v>414</v>
      </c>
      <c r="Q108" s="103">
        <v>438.3</v>
      </c>
      <c r="R108" s="126">
        <f>SUM(N108:Q108)</f>
        <v>1593.6</v>
      </c>
      <c r="S108" s="50">
        <v>417.1</v>
      </c>
      <c r="T108" s="50">
        <v>463.1</v>
      </c>
      <c r="U108" s="50">
        <v>479.7</v>
      </c>
      <c r="V108" s="50">
        <f t="shared" ref="V108" si="460">+Q108*(1+V109)</f>
        <v>482.13000000000005</v>
      </c>
      <c r="W108" s="31">
        <f>SUM(S108:V108)</f>
        <v>1842.0300000000002</v>
      </c>
      <c r="X108" s="50">
        <f>+S108*(1+X109)</f>
        <v>458.81000000000006</v>
      </c>
      <c r="Y108" s="50">
        <f>+T108*(1+Y109)</f>
        <v>481.62400000000002</v>
      </c>
      <c r="Z108" s="50">
        <f>+U108*(1+Z109)</f>
        <v>498.88800000000003</v>
      </c>
      <c r="AA108" s="50">
        <f t="shared" ref="AA108" si="461">+V108*(1+AA109)</f>
        <v>501.41520000000008</v>
      </c>
      <c r="AB108" s="31">
        <f>SUM(X108:AA108)</f>
        <v>1940.7372000000003</v>
      </c>
      <c r="AC108" s="50">
        <f>+X108*(1+AC109)</f>
        <v>477.1624000000001</v>
      </c>
      <c r="AD108" s="50">
        <f>+Y108*(1+AD109)</f>
        <v>500.88896000000005</v>
      </c>
      <c r="AE108" s="50">
        <f>+Z108*(1+AE109)</f>
        <v>518.84352000000001</v>
      </c>
      <c r="AF108" s="50">
        <f t="shared" ref="AF108" si="462">+AA108*(1+AF109)</f>
        <v>521.47180800000012</v>
      </c>
      <c r="AG108" s="31">
        <f>SUM(AC108:AF108)</f>
        <v>2018.3666880000005</v>
      </c>
      <c r="AH108" s="50">
        <f>+AC108*(1+AH109)</f>
        <v>496.24889600000012</v>
      </c>
      <c r="AI108" s="50">
        <f>+AD108*(1+AI109)</f>
        <v>520.92451840000012</v>
      </c>
      <c r="AJ108" s="50">
        <f>+AE108*(1+AJ109)</f>
        <v>539.59726080000007</v>
      </c>
      <c r="AK108" s="50">
        <f t="shared" ref="AK108" si="463">+AF108*(1+AK109)</f>
        <v>542.33068032000017</v>
      </c>
      <c r="AL108" s="31">
        <f>SUM(AH108:AK108)</f>
        <v>2099.1013555200007</v>
      </c>
      <c r="AM108" s="50">
        <f>+AH108*(1+AM109)</f>
        <v>516.09885184000018</v>
      </c>
      <c r="AN108" s="50">
        <f>+AI108*(1+AN109)</f>
        <v>541.76149913600011</v>
      </c>
      <c r="AO108" s="50">
        <f>+AJ108*(1+AO109)</f>
        <v>561.18115123200005</v>
      </c>
      <c r="AP108" s="50">
        <f t="shared" ref="AP108" si="464">+AK108*(1+AP109)</f>
        <v>564.02390753280019</v>
      </c>
      <c r="AQ108" s="31">
        <f>SUM(AM108:AP108)</f>
        <v>2183.0654097408005</v>
      </c>
      <c r="AR108" s="50">
        <f>+AM108*(1+AR109)</f>
        <v>536.74280591360025</v>
      </c>
      <c r="AS108" s="50">
        <f>+AN108*(1+AS109)</f>
        <v>563.43195910144016</v>
      </c>
      <c r="AT108" s="50">
        <f>+AO108*(1+AT109)</f>
        <v>583.62839728128006</v>
      </c>
      <c r="AU108" s="50">
        <f t="shared" ref="AU108" si="465">+AP108*(1+AU109)</f>
        <v>586.58486383411218</v>
      </c>
      <c r="AV108" s="31">
        <f>SUM(AR108:AU108)</f>
        <v>2270.388026130433</v>
      </c>
    </row>
    <row r="109" spans="1:48" outlineLevel="1" x14ac:dyDescent="0.3">
      <c r="B109" s="69" t="s">
        <v>58</v>
      </c>
      <c r="C109" s="70"/>
      <c r="D109" s="120"/>
      <c r="E109" s="120"/>
      <c r="F109" s="120"/>
      <c r="G109" s="120"/>
      <c r="H109" s="58"/>
      <c r="I109" s="120">
        <f>I108/D108-1</f>
        <v>-1.9817677368212494E-2</v>
      </c>
      <c r="J109" s="120">
        <f t="shared" ref="J109" si="466">J108/E108-1</f>
        <v>0.16233766233766223</v>
      </c>
      <c r="K109" s="120">
        <f>K108/F108-1</f>
        <v>-0.1612600787549221</v>
      </c>
      <c r="L109" s="120">
        <f>L108/G108-1</f>
        <v>-8.6793938201141563E-2</v>
      </c>
      <c r="M109" s="168">
        <f>M108/H108-1</f>
        <v>-3.3925524440429511E-2</v>
      </c>
      <c r="N109" s="120">
        <f>N108/I108-1</f>
        <v>-0.24909017387788124</v>
      </c>
      <c r="O109" s="120">
        <f t="shared" ref="O109" si="467">O108/J108-1</f>
        <v>-0.28742053554228475</v>
      </c>
      <c r="P109" s="120">
        <f>P108/K108-1</f>
        <v>-7.4446680080482941E-2</v>
      </c>
      <c r="Q109" s="120">
        <f>Q108/L108-1</f>
        <v>-5.5387931034482696E-2</v>
      </c>
      <c r="R109" s="168">
        <f>R108/M108-1</f>
        <v>-0.17215584415584417</v>
      </c>
      <c r="S109" s="120">
        <f>S108/N108-1</f>
        <v>0.12304792676359733</v>
      </c>
      <c r="T109" s="120">
        <f t="shared" ref="T109:U109" si="468">T108/O108-1</f>
        <v>0.25195998918626672</v>
      </c>
      <c r="U109" s="120">
        <f t="shared" si="468"/>
        <v>0.15869565217391313</v>
      </c>
      <c r="V109" s="197">
        <v>0.1</v>
      </c>
      <c r="W109" s="168">
        <f>W108/R108-1</f>
        <v>0.15589231927710867</v>
      </c>
      <c r="X109" s="197">
        <v>0.1</v>
      </c>
      <c r="Y109" s="197">
        <v>0.04</v>
      </c>
      <c r="Z109" s="197">
        <v>0.04</v>
      </c>
      <c r="AA109" s="197">
        <v>0.04</v>
      </c>
      <c r="AB109" s="168">
        <f>AB108/W108-1</f>
        <v>5.3586097946287436E-2</v>
      </c>
      <c r="AC109" s="197">
        <v>0.04</v>
      </c>
      <c r="AD109" s="197">
        <v>0.04</v>
      </c>
      <c r="AE109" s="197">
        <v>0.04</v>
      </c>
      <c r="AF109" s="197">
        <v>0.04</v>
      </c>
      <c r="AG109" s="168">
        <f>AG108/AB108-1</f>
        <v>4.0000000000000036E-2</v>
      </c>
      <c r="AH109" s="197">
        <v>0.04</v>
      </c>
      <c r="AI109" s="197">
        <v>0.04</v>
      </c>
      <c r="AJ109" s="197">
        <v>0.04</v>
      </c>
      <c r="AK109" s="197">
        <v>0.04</v>
      </c>
      <c r="AL109" s="168">
        <f>AL108/AG108-1</f>
        <v>4.0000000000000036E-2</v>
      </c>
      <c r="AM109" s="197">
        <v>0.04</v>
      </c>
      <c r="AN109" s="197">
        <v>0.04</v>
      </c>
      <c r="AO109" s="197">
        <v>0.04</v>
      </c>
      <c r="AP109" s="197">
        <v>0.04</v>
      </c>
      <c r="AQ109" s="168">
        <f>AQ108/AL108-1</f>
        <v>4.0000000000000036E-2</v>
      </c>
      <c r="AR109" s="197">
        <v>0.04</v>
      </c>
      <c r="AS109" s="197">
        <v>0.04</v>
      </c>
      <c r="AT109" s="197">
        <v>0.04</v>
      </c>
      <c r="AU109" s="197">
        <v>0.04</v>
      </c>
      <c r="AV109" s="168">
        <f>AV108/AQ108-1</f>
        <v>4.0000000000000258E-2</v>
      </c>
    </row>
    <row r="110" spans="1:48" outlineLevel="1" x14ac:dyDescent="0.3">
      <c r="B110" s="443" t="s">
        <v>100</v>
      </c>
      <c r="C110" s="444"/>
      <c r="D110" s="48">
        <v>348.4</v>
      </c>
      <c r="E110" s="48">
        <v>305.39999999999998</v>
      </c>
      <c r="F110" s="48">
        <v>377.1</v>
      </c>
      <c r="G110" s="48">
        <v>359.1</v>
      </c>
      <c r="H110" s="76">
        <f>SUM(D110:G110)</f>
        <v>1390</v>
      </c>
      <c r="I110" s="48">
        <v>338.8</v>
      </c>
      <c r="J110" s="48">
        <v>351.6</v>
      </c>
      <c r="K110" s="48">
        <v>319.89999999999998</v>
      </c>
      <c r="L110" s="48">
        <v>327.8</v>
      </c>
      <c r="M110" s="76">
        <f>SUM(I110:L110)</f>
        <v>1338.1000000000001</v>
      </c>
      <c r="N110" s="48">
        <v>233.5</v>
      </c>
      <c r="O110" s="48">
        <v>231.9</v>
      </c>
      <c r="P110" s="48">
        <v>268.3</v>
      </c>
      <c r="Q110" s="105">
        <v>277.5</v>
      </c>
      <c r="R110" s="76">
        <f>SUM(N110:Q110)</f>
        <v>1011.2</v>
      </c>
      <c r="S110" s="48">
        <v>258.8</v>
      </c>
      <c r="T110" s="48">
        <v>300.5</v>
      </c>
      <c r="U110" s="48">
        <v>325.8</v>
      </c>
      <c r="V110" s="48">
        <f t="shared" ref="V110" si="469">V111*V108</f>
        <v>319.71390000000002</v>
      </c>
      <c r="W110" s="76">
        <f>SUM(S110:V110)</f>
        <v>1204.8138999999999</v>
      </c>
      <c r="X110" s="48">
        <f t="shared" ref="X110:AA110" si="470">X111*X108</f>
        <v>291.56215000000003</v>
      </c>
      <c r="Y110" s="48">
        <f t="shared" si="470"/>
        <v>312.52</v>
      </c>
      <c r="Z110" s="48">
        <f t="shared" si="470"/>
        <v>336.33756000000005</v>
      </c>
      <c r="AA110" s="48">
        <f t="shared" si="470"/>
        <v>317.46000000000004</v>
      </c>
      <c r="AB110" s="76">
        <f>SUM(X110:AA110)</f>
        <v>1257.8797100000002</v>
      </c>
      <c r="AC110" s="48">
        <f t="shared" ref="AC110:AF110" si="471">AC111*AC108</f>
        <v>303.22463600000009</v>
      </c>
      <c r="AD110" s="48">
        <f t="shared" si="471"/>
        <v>325.02080000000001</v>
      </c>
      <c r="AE110" s="48">
        <f t="shared" si="471"/>
        <v>339.41419200000001</v>
      </c>
      <c r="AF110" s="48">
        <f t="shared" si="471"/>
        <v>330.15840000000003</v>
      </c>
      <c r="AG110" s="76">
        <f>SUM(AC110:AF110)</f>
        <v>1297.8180280000001</v>
      </c>
      <c r="AH110" s="48">
        <f t="shared" ref="AH110:AK110" si="472">AH111*AH108</f>
        <v>315.3536214400001</v>
      </c>
      <c r="AI110" s="48">
        <f t="shared" si="472"/>
        <v>338.02163200000007</v>
      </c>
      <c r="AJ110" s="48">
        <f t="shared" si="472"/>
        <v>347.59478707200009</v>
      </c>
      <c r="AK110" s="48">
        <f t="shared" si="472"/>
        <v>343.36473600000005</v>
      </c>
      <c r="AL110" s="76">
        <f>SUM(AH110:AK110)</f>
        <v>1344.3347765120002</v>
      </c>
      <c r="AM110" s="48">
        <f t="shared" ref="AM110:AP110" si="473">AM111*AM108</f>
        <v>327.96776629760012</v>
      </c>
      <c r="AN110" s="48">
        <f t="shared" si="473"/>
        <v>351.54249728000008</v>
      </c>
      <c r="AO110" s="48">
        <f t="shared" si="473"/>
        <v>361.49857855488005</v>
      </c>
      <c r="AP110" s="48">
        <f t="shared" si="473"/>
        <v>357.09932544000009</v>
      </c>
      <c r="AQ110" s="76">
        <f>SUM(AM110:AP110)</f>
        <v>1398.1081675724804</v>
      </c>
      <c r="AR110" s="48">
        <f t="shared" ref="AR110:AU110" si="474">AR111*AR108</f>
        <v>341.08647694950417</v>
      </c>
      <c r="AS110" s="48">
        <f t="shared" si="474"/>
        <v>365.6041971712001</v>
      </c>
      <c r="AT110" s="48">
        <f t="shared" si="474"/>
        <v>375.95852169707524</v>
      </c>
      <c r="AU110" s="48">
        <f t="shared" si="474"/>
        <v>371.38329845760006</v>
      </c>
      <c r="AV110" s="76">
        <f>SUM(AR110:AU110)</f>
        <v>1454.0324942753796</v>
      </c>
    </row>
    <row r="111" spans="1:48" s="183" customFormat="1" outlineLevel="1" x14ac:dyDescent="0.3">
      <c r="A111" s="238"/>
      <c r="B111" s="181" t="s">
        <v>151</v>
      </c>
      <c r="C111" s="182"/>
      <c r="D111" s="167">
        <f>D110/D108</f>
        <v>0.69044787950852149</v>
      </c>
      <c r="E111" s="167">
        <f t="shared" ref="E111:U111" si="475">E110/E108</f>
        <v>0.68383340797133896</v>
      </c>
      <c r="F111" s="167">
        <f t="shared" si="475"/>
        <v>0.70710669416838567</v>
      </c>
      <c r="G111" s="167">
        <f t="shared" si="475"/>
        <v>0.70675063963786655</v>
      </c>
      <c r="H111" s="188">
        <f t="shared" si="475"/>
        <v>0.69758104988457292</v>
      </c>
      <c r="I111" s="167">
        <f t="shared" si="475"/>
        <v>0.68499797816417307</v>
      </c>
      <c r="J111" s="167">
        <f t="shared" si="475"/>
        <v>0.6773261413985745</v>
      </c>
      <c r="K111" s="167">
        <f t="shared" si="475"/>
        <v>0.71517996870109535</v>
      </c>
      <c r="L111" s="187">
        <f t="shared" si="475"/>
        <v>0.70646551724137929</v>
      </c>
      <c r="M111" s="188">
        <f t="shared" si="475"/>
        <v>0.69511688311688313</v>
      </c>
      <c r="N111" s="187">
        <f t="shared" si="475"/>
        <v>0.62870220786214326</v>
      </c>
      <c r="O111" s="167">
        <f t="shared" si="475"/>
        <v>0.62692619626926205</v>
      </c>
      <c r="P111" s="167">
        <f t="shared" si="475"/>
        <v>0.6480676328502416</v>
      </c>
      <c r="Q111" s="167">
        <f t="shared" si="475"/>
        <v>0.63312799452429835</v>
      </c>
      <c r="R111" s="188">
        <f t="shared" ref="R111" si="476">R110/R108</f>
        <v>0.63453815261044189</v>
      </c>
      <c r="S111" s="187">
        <f t="shared" si="475"/>
        <v>0.62047470630544233</v>
      </c>
      <c r="T111" s="167">
        <f t="shared" si="475"/>
        <v>0.64888792917296478</v>
      </c>
      <c r="U111" s="167">
        <f t="shared" si="475"/>
        <v>0.67917448405253289</v>
      </c>
      <c r="V111" s="189">
        <f>Q111+3%</f>
        <v>0.66312799452429838</v>
      </c>
      <c r="W111" s="188">
        <f t="shared" ref="W111" si="477">W110/W108</f>
        <v>0.65406855480095316</v>
      </c>
      <c r="X111" s="189">
        <f>S111+1.5%</f>
        <v>0.63547470630544234</v>
      </c>
      <c r="Y111" s="189">
        <f t="shared" ref="Y111" si="478">T111</f>
        <v>0.64888792917296478</v>
      </c>
      <c r="Z111" s="189">
        <f>U111-0.5%</f>
        <v>0.67417448405253289</v>
      </c>
      <c r="AA111" s="189">
        <f>V111-3%</f>
        <v>0.63312799452429835</v>
      </c>
      <c r="AB111" s="188">
        <f t="shared" ref="AB111" si="479">AB110/AB108</f>
        <v>0.64814530787579072</v>
      </c>
      <c r="AC111" s="189">
        <f t="shared" ref="AC111" si="480">X111</f>
        <v>0.63547470630544234</v>
      </c>
      <c r="AD111" s="189">
        <f t="shared" ref="AD111" si="481">Y111</f>
        <v>0.64888792917296478</v>
      </c>
      <c r="AE111" s="189">
        <f>Z111-2%</f>
        <v>0.65417448405253287</v>
      </c>
      <c r="AF111" s="189">
        <f t="shared" ref="AF111" si="482">AA111</f>
        <v>0.63312799452429835</v>
      </c>
      <c r="AG111" s="188">
        <f t="shared" ref="AG111" si="483">AG110/AG108</f>
        <v>0.64300408628226424</v>
      </c>
      <c r="AH111" s="189">
        <f t="shared" ref="AH111" si="484">AC111</f>
        <v>0.63547470630544234</v>
      </c>
      <c r="AI111" s="189">
        <f t="shared" ref="AI111" si="485">AD111</f>
        <v>0.64888792917296478</v>
      </c>
      <c r="AJ111" s="189">
        <f>AE111-1%</f>
        <v>0.64417448405253286</v>
      </c>
      <c r="AK111" s="189">
        <f t="shared" ref="AK111" si="486">AF111</f>
        <v>0.63312799452429835</v>
      </c>
      <c r="AL111" s="188">
        <f t="shared" ref="AL111" si="487">AL110/AL108</f>
        <v>0.640433475485501</v>
      </c>
      <c r="AM111" s="189">
        <f t="shared" ref="AM111" si="488">AH111</f>
        <v>0.63547470630544234</v>
      </c>
      <c r="AN111" s="189">
        <f t="shared" ref="AN111" si="489">AI111</f>
        <v>0.64888792917296478</v>
      </c>
      <c r="AO111" s="189">
        <f t="shared" ref="AO111" si="490">AJ111</f>
        <v>0.64417448405253286</v>
      </c>
      <c r="AP111" s="189">
        <f t="shared" ref="AP111" si="491">AK111</f>
        <v>0.63312799452429835</v>
      </c>
      <c r="AQ111" s="188">
        <f t="shared" ref="AQ111" si="492">AQ110/AQ108</f>
        <v>0.64043347548550111</v>
      </c>
      <c r="AR111" s="189">
        <f t="shared" ref="AR111" si="493">AM111</f>
        <v>0.63547470630544234</v>
      </c>
      <c r="AS111" s="189">
        <f t="shared" ref="AS111" si="494">AN111</f>
        <v>0.64888792917296478</v>
      </c>
      <c r="AT111" s="189">
        <f t="shared" ref="AT111" si="495">AO111</f>
        <v>0.64417448405253286</v>
      </c>
      <c r="AU111" s="189">
        <f t="shared" ref="AU111" si="496">AP111</f>
        <v>0.63312799452429835</v>
      </c>
      <c r="AV111" s="188">
        <f t="shared" ref="AV111" si="497">AV110/AV108</f>
        <v>0.640433475485501</v>
      </c>
    </row>
    <row r="112" spans="1:48" outlineLevel="1" x14ac:dyDescent="0.3">
      <c r="B112" s="180" t="s">
        <v>33</v>
      </c>
      <c r="C112" s="18"/>
      <c r="D112" s="48">
        <v>18.600000000000001</v>
      </c>
      <c r="E112" s="48">
        <v>17.100000000000001</v>
      </c>
      <c r="F112" s="48">
        <v>20.2</v>
      </c>
      <c r="G112" s="48">
        <v>20.3</v>
      </c>
      <c r="H112" s="49">
        <f>SUM(D112:G112)</f>
        <v>76.2</v>
      </c>
      <c r="I112" s="48">
        <v>20.6</v>
      </c>
      <c r="J112" s="48">
        <v>17.7</v>
      </c>
      <c r="K112" s="48">
        <v>51.4</v>
      </c>
      <c r="L112" s="48">
        <v>18.5</v>
      </c>
      <c r="M112" s="49">
        <f>SUM(I112:L112)</f>
        <v>108.19999999999999</v>
      </c>
      <c r="N112" s="48">
        <v>11.1</v>
      </c>
      <c r="O112" s="48">
        <v>13.1</v>
      </c>
      <c r="P112" s="48">
        <v>-9.9</v>
      </c>
      <c r="Q112" s="105">
        <v>17</v>
      </c>
      <c r="R112" s="49">
        <f>SUM(N112:Q112)</f>
        <v>31.299999999999997</v>
      </c>
      <c r="S112" s="48">
        <v>11.4</v>
      </c>
      <c r="T112" s="48">
        <v>10.7</v>
      </c>
      <c r="U112" s="48">
        <v>13.6</v>
      </c>
      <c r="V112" s="48">
        <f t="shared" ref="V112" si="498">V113*V108</f>
        <v>37.985200000000006</v>
      </c>
      <c r="W112" s="49">
        <f>SUM(S112:V112)</f>
        <v>73.685200000000009</v>
      </c>
      <c r="X112" s="48">
        <f t="shared" ref="X112:AA112" si="499">X113*X108</f>
        <v>21.716200000000004</v>
      </c>
      <c r="Y112" s="48">
        <f t="shared" si="499"/>
        <v>11.128</v>
      </c>
      <c r="Z112" s="48">
        <f t="shared" si="499"/>
        <v>11.649560000000001</v>
      </c>
      <c r="AA112" s="48">
        <f t="shared" si="499"/>
        <v>24.462152000000007</v>
      </c>
      <c r="AB112" s="49">
        <f>SUM(X112:AA112)</f>
        <v>68.955912000000012</v>
      </c>
      <c r="AC112" s="48">
        <f t="shared" ref="AC112:AF112" si="500">AC113*AC108</f>
        <v>13.041600000000003</v>
      </c>
      <c r="AD112" s="48">
        <f t="shared" si="500"/>
        <v>11.573120000000001</v>
      </c>
      <c r="AE112" s="48">
        <f t="shared" si="500"/>
        <v>12.115542399999999</v>
      </c>
      <c r="AF112" s="48">
        <f t="shared" si="500"/>
        <v>15.011201920000005</v>
      </c>
      <c r="AG112" s="49">
        <f>SUM(AC112:AF112)</f>
        <v>51.741464320000006</v>
      </c>
      <c r="AH112" s="48">
        <f t="shared" ref="AH112:AK112" si="501">AH113*AH108</f>
        <v>12.074517312000003</v>
      </c>
      <c r="AI112" s="48">
        <f t="shared" si="501"/>
        <v>12.036044800000003</v>
      </c>
      <c r="AJ112" s="48">
        <f t="shared" si="501"/>
        <v>12.600164096</v>
      </c>
      <c r="AK112" s="48">
        <f t="shared" si="501"/>
        <v>13.442327275520006</v>
      </c>
      <c r="AL112" s="49">
        <f>SUM(AH112:AK112)</f>
        <v>50.153053483520011</v>
      </c>
      <c r="AM112" s="48">
        <f t="shared" ref="AM112:AP112" si="502">AM113*AM108</f>
        <v>12.557498004480005</v>
      </c>
      <c r="AN112" s="48">
        <f t="shared" si="502"/>
        <v>12.517486592000003</v>
      </c>
      <c r="AO112" s="48">
        <f t="shared" si="502"/>
        <v>13.104170659840001</v>
      </c>
      <c r="AP112" s="48">
        <f t="shared" si="502"/>
        <v>13.980020366540806</v>
      </c>
      <c r="AQ112" s="49">
        <f>SUM(AM112:AP112)</f>
        <v>52.159175622860815</v>
      </c>
      <c r="AR112" s="48">
        <f t="shared" ref="AR112:AU112" si="503">AR113*AR108</f>
        <v>13.059797924659206</v>
      </c>
      <c r="AS112" s="48">
        <f t="shared" si="503"/>
        <v>13.018186055680003</v>
      </c>
      <c r="AT112" s="48">
        <f t="shared" si="503"/>
        <v>13.628337486233601</v>
      </c>
      <c r="AU112" s="48">
        <f t="shared" si="503"/>
        <v>14.539221181202437</v>
      </c>
      <c r="AV112" s="49">
        <f>SUM(AR112:AU112)</f>
        <v>54.245542647775245</v>
      </c>
    </row>
    <row r="113" spans="2:48" s="184" customFormat="1" outlineLevel="1" x14ac:dyDescent="0.3">
      <c r="B113" s="181" t="s">
        <v>154</v>
      </c>
      <c r="C113" s="190"/>
      <c r="D113" s="187">
        <f>D112/D108</f>
        <v>3.6860879904875153E-2</v>
      </c>
      <c r="E113" s="187">
        <f t="shared" ref="E113:U113" si="504">E112/E108</f>
        <v>3.8289296909986566E-2</v>
      </c>
      <c r="F113" s="187">
        <f t="shared" si="504"/>
        <v>3.7877367335458469E-2</v>
      </c>
      <c r="G113" s="187">
        <f t="shared" si="504"/>
        <v>3.9952765203700058E-2</v>
      </c>
      <c r="H113" s="188">
        <f t="shared" si="504"/>
        <v>3.8241493526046375E-2</v>
      </c>
      <c r="I113" s="187">
        <f t="shared" si="504"/>
        <v>4.1649818034775576E-2</v>
      </c>
      <c r="J113" s="187">
        <f t="shared" si="504"/>
        <v>3.4097476401464072E-2</v>
      </c>
      <c r="K113" s="187">
        <f t="shared" si="504"/>
        <v>0.11491169237648111</v>
      </c>
      <c r="L113" s="187">
        <f t="shared" si="504"/>
        <v>3.9870689655172417E-2</v>
      </c>
      <c r="M113" s="188">
        <f t="shared" si="504"/>
        <v>5.62077922077922E-2</v>
      </c>
      <c r="N113" s="187">
        <f t="shared" si="504"/>
        <v>2.9886914378029081E-2</v>
      </c>
      <c r="O113" s="187">
        <f t="shared" si="504"/>
        <v>3.5414977020816439E-2</v>
      </c>
      <c r="P113" s="187">
        <f t="shared" si="504"/>
        <v>-2.391304347826087E-2</v>
      </c>
      <c r="Q113" s="167">
        <f t="shared" si="504"/>
        <v>3.8786219484371436E-2</v>
      </c>
      <c r="R113" s="188">
        <f t="shared" ref="R113" si="505">R112/R108</f>
        <v>1.964106425702811E-2</v>
      </c>
      <c r="S113" s="187">
        <f t="shared" si="504"/>
        <v>2.7331575161831694E-2</v>
      </c>
      <c r="T113" s="187">
        <f t="shared" si="504"/>
        <v>2.3105160872381774E-2</v>
      </c>
      <c r="U113" s="187">
        <f t="shared" si="504"/>
        <v>2.8351052741296644E-2</v>
      </c>
      <c r="V113" s="189">
        <f>Q113+4%</f>
        <v>7.8786219484371436E-2</v>
      </c>
      <c r="W113" s="188">
        <f t="shared" ref="W113" si="506">W112/W108</f>
        <v>4.0002171517293419E-2</v>
      </c>
      <c r="X113" s="189">
        <f>S113+2%</f>
        <v>4.7331575161831695E-2</v>
      </c>
      <c r="Y113" s="189">
        <f t="shared" ref="Y113" si="507">T113</f>
        <v>2.3105160872381774E-2</v>
      </c>
      <c r="Z113" s="189">
        <f>U113-0.5%</f>
        <v>2.3351052741296643E-2</v>
      </c>
      <c r="AA113" s="189">
        <f>V113-3%</f>
        <v>4.8786219484371438E-2</v>
      </c>
      <c r="AB113" s="188">
        <f t="shared" ref="AB113" si="508">AB112/AB108</f>
        <v>3.5530782838603808E-2</v>
      </c>
      <c r="AC113" s="189">
        <f>X113-2%</f>
        <v>2.7331575161831694E-2</v>
      </c>
      <c r="AD113" s="189">
        <f t="shared" ref="AD113" si="509">Y113</f>
        <v>2.3105160872381774E-2</v>
      </c>
      <c r="AE113" s="189">
        <f t="shared" ref="AE113" si="510">Z113</f>
        <v>2.3351052741296643E-2</v>
      </c>
      <c r="AF113" s="189">
        <f>AA113-2%</f>
        <v>2.8786219484371437E-2</v>
      </c>
      <c r="AG113" s="188">
        <f t="shared" ref="AG113" si="511">AG112/AG108</f>
        <v>2.5635314250687827E-2</v>
      </c>
      <c r="AH113" s="189">
        <f>AC113-0.3%</f>
        <v>2.4331575161831695E-2</v>
      </c>
      <c r="AI113" s="189">
        <f t="shared" ref="AI113" si="512">AD113</f>
        <v>2.3105160872381774E-2</v>
      </c>
      <c r="AJ113" s="189">
        <f t="shared" ref="AJ113" si="513">AE113</f>
        <v>2.3351052741296643E-2</v>
      </c>
      <c r="AK113" s="189">
        <f>AF113-0.4%</f>
        <v>2.4786219484371437E-2</v>
      </c>
      <c r="AL113" s="188">
        <f t="shared" ref="AL113" si="514">AL112/AL108</f>
        <v>2.3892630697242262E-2</v>
      </c>
      <c r="AM113" s="189">
        <f t="shared" ref="AM113" si="515">AH113</f>
        <v>2.4331575161831695E-2</v>
      </c>
      <c r="AN113" s="189">
        <f t="shared" ref="AN113" si="516">AI113</f>
        <v>2.3105160872381774E-2</v>
      </c>
      <c r="AO113" s="189">
        <f t="shared" ref="AO113" si="517">AJ113</f>
        <v>2.3351052741296643E-2</v>
      </c>
      <c r="AP113" s="189">
        <f t="shared" ref="AP113" si="518">AK113</f>
        <v>2.4786219484371437E-2</v>
      </c>
      <c r="AQ113" s="188">
        <f t="shared" ref="AQ113" si="519">AQ112/AQ108</f>
        <v>2.3892630697242265E-2</v>
      </c>
      <c r="AR113" s="189">
        <f t="shared" ref="AR113" si="520">AM113</f>
        <v>2.4331575161831695E-2</v>
      </c>
      <c r="AS113" s="189">
        <f t="shared" ref="AS113" si="521">AN113</f>
        <v>2.3105160872381774E-2</v>
      </c>
      <c r="AT113" s="189">
        <f t="shared" ref="AT113" si="522">AO113</f>
        <v>2.3351052741296643E-2</v>
      </c>
      <c r="AU113" s="189">
        <f t="shared" ref="AU113" si="523">AP113</f>
        <v>2.4786219484371437E-2</v>
      </c>
      <c r="AV113" s="188">
        <f t="shared" ref="AV113" si="524">AV112/AV108</f>
        <v>2.3892630697242258E-2</v>
      </c>
    </row>
    <row r="114" spans="2:48" outlineLevel="1" x14ac:dyDescent="0.3">
      <c r="B114" s="180" t="s">
        <v>34</v>
      </c>
      <c r="C114" s="18"/>
      <c r="D114" s="358">
        <v>0</v>
      </c>
      <c r="E114" s="358">
        <v>12.3</v>
      </c>
      <c r="F114" s="358">
        <v>0.2</v>
      </c>
      <c r="G114" s="358">
        <v>0.3</v>
      </c>
      <c r="H114" s="126">
        <f>SUM(D114:G114)</f>
        <v>12.8</v>
      </c>
      <c r="I114" s="358">
        <v>0.3</v>
      </c>
      <c r="J114" s="358">
        <v>0.3</v>
      </c>
      <c r="K114" s="358">
        <v>0.3</v>
      </c>
      <c r="L114" s="358">
        <v>0.3</v>
      </c>
      <c r="M114" s="126">
        <f>SUM(I114:L114)</f>
        <v>1.2</v>
      </c>
      <c r="N114" s="358">
        <v>0.2</v>
      </c>
      <c r="O114" s="358">
        <v>0.3</v>
      </c>
      <c r="P114" s="358">
        <v>0.2</v>
      </c>
      <c r="Q114" s="358">
        <v>0.3</v>
      </c>
      <c r="R114" s="126">
        <f>SUM(N114:Q114)</f>
        <v>1</v>
      </c>
      <c r="S114" s="358">
        <v>0</v>
      </c>
      <c r="T114" s="358">
        <v>0</v>
      </c>
      <c r="U114" s="358">
        <v>0</v>
      </c>
      <c r="V114" s="360">
        <v>0</v>
      </c>
      <c r="W114" s="126">
        <f>SUM(S114:V114)</f>
        <v>0</v>
      </c>
      <c r="X114" s="360">
        <v>0</v>
      </c>
      <c r="Y114" s="360">
        <v>0</v>
      </c>
      <c r="Z114" s="360">
        <v>0</v>
      </c>
      <c r="AA114" s="360">
        <v>0</v>
      </c>
      <c r="AB114" s="126">
        <f>SUM(X114:AA114)</f>
        <v>0</v>
      </c>
      <c r="AC114" s="360">
        <v>0</v>
      </c>
      <c r="AD114" s="360">
        <v>0</v>
      </c>
      <c r="AE114" s="360">
        <v>0</v>
      </c>
      <c r="AF114" s="360">
        <v>0</v>
      </c>
      <c r="AG114" s="126">
        <f>SUM(AC114:AF114)</f>
        <v>0</v>
      </c>
      <c r="AH114" s="360">
        <v>0</v>
      </c>
      <c r="AI114" s="360">
        <v>0</v>
      </c>
      <c r="AJ114" s="360">
        <v>0</v>
      </c>
      <c r="AK114" s="360">
        <v>0</v>
      </c>
      <c r="AL114" s="126">
        <f>SUM(AH114:AK114)</f>
        <v>0</v>
      </c>
      <c r="AM114" s="360">
        <v>0</v>
      </c>
      <c r="AN114" s="360">
        <v>0</v>
      </c>
      <c r="AO114" s="360">
        <v>0</v>
      </c>
      <c r="AP114" s="360">
        <v>0</v>
      </c>
      <c r="AQ114" s="126">
        <f>SUM(AM114:AP114)</f>
        <v>0</v>
      </c>
      <c r="AR114" s="360">
        <v>0</v>
      </c>
      <c r="AS114" s="360">
        <v>0</v>
      </c>
      <c r="AT114" s="360">
        <v>0</v>
      </c>
      <c r="AU114" s="360">
        <v>0</v>
      </c>
      <c r="AV114" s="126">
        <f>SUM(AR114:AU114)</f>
        <v>0</v>
      </c>
    </row>
    <row r="115" spans="2:48" outlineLevel="1" x14ac:dyDescent="0.3">
      <c r="B115" s="180" t="s">
        <v>35</v>
      </c>
      <c r="C115" s="18"/>
      <c r="D115" s="48">
        <v>3.2</v>
      </c>
      <c r="E115" s="48">
        <v>3.1</v>
      </c>
      <c r="F115" s="48">
        <v>2.7</v>
      </c>
      <c r="G115" s="48">
        <v>2.6</v>
      </c>
      <c r="H115" s="49">
        <f>SUM(D115:G115)</f>
        <v>11.6</v>
      </c>
      <c r="I115" s="48">
        <v>2.4</v>
      </c>
      <c r="J115" s="48">
        <v>3</v>
      </c>
      <c r="K115" s="48">
        <v>2.5</v>
      </c>
      <c r="L115" s="48">
        <v>2.5</v>
      </c>
      <c r="M115" s="49">
        <f>SUM(I115:L115)</f>
        <v>10.4</v>
      </c>
      <c r="N115" s="48">
        <v>2.2000000000000002</v>
      </c>
      <c r="O115" s="48">
        <v>2.2999999999999998</v>
      </c>
      <c r="P115" s="48">
        <v>2.9</v>
      </c>
      <c r="Q115" s="105">
        <v>3.4</v>
      </c>
      <c r="R115" s="49">
        <f>SUM(N115:Q115)</f>
        <v>10.8</v>
      </c>
      <c r="S115" s="48">
        <v>3.3</v>
      </c>
      <c r="T115" s="48">
        <v>2.5</v>
      </c>
      <c r="U115" s="48">
        <v>2.2999999999999998</v>
      </c>
      <c r="V115" s="48">
        <f t="shared" ref="V115" si="525">V116*V108</f>
        <v>3.74</v>
      </c>
      <c r="W115" s="49">
        <f>SUM(S115:V115)</f>
        <v>11.84</v>
      </c>
      <c r="X115" s="48">
        <f t="shared" ref="X115:AA115" si="526">X116*X108</f>
        <v>3.63</v>
      </c>
      <c r="Y115" s="48">
        <f t="shared" si="526"/>
        <v>2.6</v>
      </c>
      <c r="Z115" s="48">
        <f t="shared" si="526"/>
        <v>2.3920000000000003</v>
      </c>
      <c r="AA115" s="48">
        <f t="shared" si="526"/>
        <v>3.8896000000000002</v>
      </c>
      <c r="AB115" s="49">
        <f>SUM(X115:AA115)</f>
        <v>12.5116</v>
      </c>
      <c r="AC115" s="48">
        <f t="shared" ref="AC115:AF115" si="527">AC116*AC108</f>
        <v>3.7751999999999999</v>
      </c>
      <c r="AD115" s="48">
        <f t="shared" si="527"/>
        <v>2.7040000000000002</v>
      </c>
      <c r="AE115" s="48">
        <f t="shared" si="527"/>
        <v>2.4876800000000001</v>
      </c>
      <c r="AF115" s="48">
        <f t="shared" si="527"/>
        <v>4.0451840000000008</v>
      </c>
      <c r="AG115" s="49">
        <f>SUM(AC115:AF115)</f>
        <v>13.012064000000001</v>
      </c>
      <c r="AH115" s="48">
        <f t="shared" ref="AH115:AK115" si="528">AH116*AH108</f>
        <v>3.9262080000000004</v>
      </c>
      <c r="AI115" s="48">
        <f t="shared" si="528"/>
        <v>2.8121600000000004</v>
      </c>
      <c r="AJ115" s="48">
        <f t="shared" si="528"/>
        <v>2.5871872000000002</v>
      </c>
      <c r="AK115" s="48">
        <f t="shared" si="528"/>
        <v>4.2069913600000008</v>
      </c>
      <c r="AL115" s="49">
        <f>SUM(AH115:AK115)</f>
        <v>13.532546560000004</v>
      </c>
      <c r="AM115" s="48">
        <f t="shared" ref="AM115:AP115" si="529">AM116*AM108</f>
        <v>4.0832563200000003</v>
      </c>
      <c r="AN115" s="48">
        <f t="shared" si="529"/>
        <v>2.9246464000000003</v>
      </c>
      <c r="AO115" s="48">
        <f t="shared" si="529"/>
        <v>2.6906746880000001</v>
      </c>
      <c r="AP115" s="48">
        <f t="shared" si="529"/>
        <v>4.3752710144000009</v>
      </c>
      <c r="AQ115" s="49">
        <f>SUM(AM115:AP115)</f>
        <v>14.073848422400001</v>
      </c>
      <c r="AR115" s="48">
        <f t="shared" ref="AR115:AU115" si="530">AR116*AR108</f>
        <v>4.246586572800001</v>
      </c>
      <c r="AS115" s="48">
        <f t="shared" si="530"/>
        <v>3.0416322560000006</v>
      </c>
      <c r="AT115" s="48">
        <f t="shared" si="530"/>
        <v>2.7983016755200003</v>
      </c>
      <c r="AU115" s="48">
        <f t="shared" si="530"/>
        <v>4.5502818549760011</v>
      </c>
      <c r="AV115" s="49">
        <f>SUM(AR115:AU115)</f>
        <v>14.636802359296004</v>
      </c>
    </row>
    <row r="116" spans="2:48" s="184" customFormat="1" outlineLevel="1" x14ac:dyDescent="0.3">
      <c r="B116" s="181" t="s">
        <v>153</v>
      </c>
      <c r="C116" s="190"/>
      <c r="D116" s="187">
        <f>D115/D108</f>
        <v>6.3416567578279829E-3</v>
      </c>
      <c r="E116" s="187">
        <f t="shared" ref="E116:Q116" si="531">E115/E108</f>
        <v>6.9413345275414241E-3</v>
      </c>
      <c r="F116" s="187">
        <f t="shared" si="531"/>
        <v>5.0628164260266275E-3</v>
      </c>
      <c r="G116" s="187">
        <f t="shared" si="531"/>
        <v>5.1171029324936033E-3</v>
      </c>
      <c r="H116" s="188">
        <f t="shared" si="531"/>
        <v>5.8215396968784505E-3</v>
      </c>
      <c r="I116" s="187">
        <f t="shared" si="531"/>
        <v>4.8524059846340476E-3</v>
      </c>
      <c r="J116" s="187">
        <f t="shared" si="531"/>
        <v>5.7792332883837404E-3</v>
      </c>
      <c r="K116" s="187">
        <f t="shared" si="531"/>
        <v>5.5890900961323492E-3</v>
      </c>
      <c r="L116" s="187">
        <f t="shared" si="531"/>
        <v>5.387931034482759E-3</v>
      </c>
      <c r="M116" s="188">
        <f t="shared" si="531"/>
        <v>5.4025974025974028E-3</v>
      </c>
      <c r="N116" s="187">
        <f t="shared" si="531"/>
        <v>5.9235325794291874E-3</v>
      </c>
      <c r="O116" s="187">
        <f t="shared" si="531"/>
        <v>6.2178967288456337E-3</v>
      </c>
      <c r="P116" s="187">
        <f t="shared" si="531"/>
        <v>7.0048309178743955E-3</v>
      </c>
      <c r="Q116" s="167">
        <f t="shared" si="531"/>
        <v>7.7572438968742862E-3</v>
      </c>
      <c r="R116" s="188">
        <f t="shared" ref="R116:U116" si="532">R115/R108</f>
        <v>6.7771084337349408E-3</v>
      </c>
      <c r="S116" s="187">
        <f t="shared" si="532"/>
        <v>7.9117717573723313E-3</v>
      </c>
      <c r="T116" s="187">
        <f t="shared" si="532"/>
        <v>5.3984020729863956E-3</v>
      </c>
      <c r="U116" s="187">
        <f t="shared" si="532"/>
        <v>4.7946633312486971E-3</v>
      </c>
      <c r="V116" s="189">
        <f>Q116</f>
        <v>7.7572438968742862E-3</v>
      </c>
      <c r="W116" s="188">
        <f t="shared" ref="W116" si="533">W115/W108</f>
        <v>6.4276911885257021E-3</v>
      </c>
      <c r="X116" s="189">
        <f t="shared" ref="X116" si="534">S116</f>
        <v>7.9117717573723313E-3</v>
      </c>
      <c r="Y116" s="189">
        <f t="shared" ref="Y116" si="535">T116</f>
        <v>5.3984020729863956E-3</v>
      </c>
      <c r="Z116" s="189">
        <f t="shared" ref="Z116" si="536">U116</f>
        <v>4.7946633312486971E-3</v>
      </c>
      <c r="AA116" s="189">
        <f t="shared" ref="AA116" si="537">V116</f>
        <v>7.7572438968742862E-3</v>
      </c>
      <c r="AB116" s="188">
        <f t="shared" ref="AB116" si="538">AB115/AB108</f>
        <v>6.4468285556643105E-3</v>
      </c>
      <c r="AC116" s="189">
        <f t="shared" ref="AC116" si="539">X116</f>
        <v>7.9117717573723313E-3</v>
      </c>
      <c r="AD116" s="189">
        <f t="shared" ref="AD116" si="540">Y116</f>
        <v>5.3984020729863956E-3</v>
      </c>
      <c r="AE116" s="189">
        <f t="shared" ref="AE116" si="541">Z116</f>
        <v>4.7946633312486971E-3</v>
      </c>
      <c r="AF116" s="189">
        <f t="shared" ref="AF116" si="542">AA116</f>
        <v>7.7572438968742862E-3</v>
      </c>
      <c r="AG116" s="188">
        <f t="shared" ref="AG116" si="543">AG115/AG108</f>
        <v>6.4468285556643096E-3</v>
      </c>
      <c r="AH116" s="189">
        <f t="shared" ref="AH116" si="544">AC116</f>
        <v>7.9117717573723313E-3</v>
      </c>
      <c r="AI116" s="189">
        <f t="shared" ref="AI116" si="545">AD116</f>
        <v>5.3984020729863956E-3</v>
      </c>
      <c r="AJ116" s="189">
        <f t="shared" ref="AJ116" si="546">AE116</f>
        <v>4.7946633312486971E-3</v>
      </c>
      <c r="AK116" s="189">
        <f t="shared" ref="AK116" si="547">AF116</f>
        <v>7.7572438968742862E-3</v>
      </c>
      <c r="AL116" s="188">
        <f t="shared" ref="AL116" si="548">AL115/AL108</f>
        <v>6.4468285556643114E-3</v>
      </c>
      <c r="AM116" s="189">
        <f t="shared" ref="AM116" si="549">AH116</f>
        <v>7.9117717573723313E-3</v>
      </c>
      <c r="AN116" s="189">
        <f t="shared" ref="AN116" si="550">AI116</f>
        <v>5.3984020729863956E-3</v>
      </c>
      <c r="AO116" s="189">
        <f t="shared" ref="AO116" si="551">AJ116</f>
        <v>4.7946633312486971E-3</v>
      </c>
      <c r="AP116" s="189">
        <f t="shared" ref="AP116" si="552">AK116</f>
        <v>7.7572438968742862E-3</v>
      </c>
      <c r="AQ116" s="188">
        <f t="shared" ref="AQ116" si="553">AQ115/AQ108</f>
        <v>6.4468285556643105E-3</v>
      </c>
      <c r="AR116" s="189">
        <f t="shared" ref="AR116" si="554">AM116</f>
        <v>7.9117717573723313E-3</v>
      </c>
      <c r="AS116" s="189">
        <f t="shared" ref="AS116" si="555">AN116</f>
        <v>5.3984020729863956E-3</v>
      </c>
      <c r="AT116" s="189">
        <f t="shared" ref="AT116" si="556">AO116</f>
        <v>4.7946633312486971E-3</v>
      </c>
      <c r="AU116" s="189">
        <f t="shared" ref="AU116" si="557">AP116</f>
        <v>7.7572438968742862E-3</v>
      </c>
      <c r="AV116" s="188">
        <f t="shared" ref="AV116" si="558">AV115/AV108</f>
        <v>6.4468285556643105E-3</v>
      </c>
    </row>
    <row r="117" spans="2:48" ht="16.2" outlineLevel="1" x14ac:dyDescent="0.45">
      <c r="B117" s="180" t="s">
        <v>42</v>
      </c>
      <c r="C117" s="18"/>
      <c r="D117" s="119">
        <v>0</v>
      </c>
      <c r="E117" s="119">
        <v>0</v>
      </c>
      <c r="F117" s="119">
        <v>0</v>
      </c>
      <c r="G117" s="119">
        <v>0</v>
      </c>
      <c r="H117" s="131">
        <f>SUM(D117:G117)</f>
        <v>0</v>
      </c>
      <c r="I117" s="119">
        <v>0</v>
      </c>
      <c r="J117" s="119">
        <v>0</v>
      </c>
      <c r="K117" s="119">
        <v>0</v>
      </c>
      <c r="L117" s="119">
        <v>0</v>
      </c>
      <c r="M117" s="131">
        <f>SUM(I117:L117)</f>
        <v>0</v>
      </c>
      <c r="N117" s="119">
        <v>0</v>
      </c>
      <c r="O117" s="119">
        <v>0</v>
      </c>
      <c r="P117" s="119">
        <v>0</v>
      </c>
      <c r="Q117" s="119">
        <v>0</v>
      </c>
      <c r="R117" s="131">
        <f>SUM(N117:Q117)</f>
        <v>0</v>
      </c>
      <c r="S117" s="119">
        <v>0</v>
      </c>
      <c r="T117" s="119">
        <v>0</v>
      </c>
      <c r="U117" s="119">
        <v>0</v>
      </c>
      <c r="V117" s="119">
        <f>IFERROR((V163*(U117/U163)),0)</f>
        <v>0</v>
      </c>
      <c r="W117" s="131">
        <f>SUM(S117:V117)</f>
        <v>0</v>
      </c>
      <c r="X117" s="119">
        <f>IFERROR((X163*(V117/V163)),0)</f>
        <v>0</v>
      </c>
      <c r="Y117" s="119">
        <f t="shared" ref="Y117:AA117" si="559">IFERROR((Y163*(X117/X163)),0)</f>
        <v>0</v>
      </c>
      <c r="Z117" s="119">
        <f t="shared" si="559"/>
        <v>0</v>
      </c>
      <c r="AA117" s="119">
        <f t="shared" si="559"/>
        <v>0</v>
      </c>
      <c r="AB117" s="131">
        <f>SUM(X117:AA117)</f>
        <v>0</v>
      </c>
      <c r="AC117" s="119">
        <f>IFERROR((AC163*(AA117/AA163)),0)</f>
        <v>0</v>
      </c>
      <c r="AD117" s="119">
        <f t="shared" ref="AD117:AF117" si="560">IFERROR((AD163*(AC117/AC163)),0)</f>
        <v>0</v>
      </c>
      <c r="AE117" s="119">
        <f t="shared" si="560"/>
        <v>0</v>
      </c>
      <c r="AF117" s="119">
        <f t="shared" si="560"/>
        <v>0</v>
      </c>
      <c r="AG117" s="131">
        <f>SUM(AC117:AF117)</f>
        <v>0</v>
      </c>
      <c r="AH117" s="119">
        <f>IFERROR((AH163*(AF117/AF163)),0)</f>
        <v>0</v>
      </c>
      <c r="AI117" s="119">
        <f t="shared" ref="AI117:AK117" si="561">IFERROR((AI163*(AH117/AH163)),0)</f>
        <v>0</v>
      </c>
      <c r="AJ117" s="119">
        <f t="shared" si="561"/>
        <v>0</v>
      </c>
      <c r="AK117" s="119">
        <f t="shared" si="561"/>
        <v>0</v>
      </c>
      <c r="AL117" s="131">
        <f>SUM(AH117:AK117)</f>
        <v>0</v>
      </c>
      <c r="AM117" s="119">
        <f>IFERROR((AM163*(AK117/AK163)),0)</f>
        <v>0</v>
      </c>
      <c r="AN117" s="119">
        <f t="shared" ref="AN117:AP117" si="562">IFERROR((AN163*(AM117/AM163)),0)</f>
        <v>0</v>
      </c>
      <c r="AO117" s="119">
        <f t="shared" si="562"/>
        <v>0</v>
      </c>
      <c r="AP117" s="119">
        <f t="shared" si="562"/>
        <v>0</v>
      </c>
      <c r="AQ117" s="131">
        <f>SUM(AM117:AP117)</f>
        <v>0</v>
      </c>
      <c r="AR117" s="119">
        <f>IFERROR((AR163*(AP117/AP163)),0)</f>
        <v>0</v>
      </c>
      <c r="AS117" s="119">
        <f t="shared" ref="AS117:AU117" si="563">IFERROR((AS163*(AR117/AR163)),0)</f>
        <v>0</v>
      </c>
      <c r="AT117" s="119">
        <f t="shared" si="563"/>
        <v>0</v>
      </c>
      <c r="AU117" s="119">
        <f t="shared" si="563"/>
        <v>0</v>
      </c>
      <c r="AV117" s="131">
        <f>SUM(AR117:AU117)</f>
        <v>0</v>
      </c>
    </row>
    <row r="118" spans="2:48" outlineLevel="1" x14ac:dyDescent="0.3">
      <c r="B118" s="46" t="s">
        <v>52</v>
      </c>
      <c r="C118" s="19"/>
      <c r="D118" s="50">
        <f>D110+D112+D114+D115+D117</f>
        <v>370.2</v>
      </c>
      <c r="E118" s="50">
        <f t="shared" ref="E118:AU118" si="564">E110+E112+E114+E115+E117</f>
        <v>337.90000000000003</v>
      </c>
      <c r="F118" s="50">
        <f t="shared" si="564"/>
        <v>400.2</v>
      </c>
      <c r="G118" s="50">
        <f t="shared" si="564"/>
        <v>382.30000000000007</v>
      </c>
      <c r="H118" s="26">
        <f t="shared" si="564"/>
        <v>1490.6</v>
      </c>
      <c r="I118" s="50">
        <f t="shared" si="564"/>
        <v>362.1</v>
      </c>
      <c r="J118" s="50">
        <f t="shared" si="564"/>
        <v>372.6</v>
      </c>
      <c r="K118" s="50">
        <f t="shared" si="564"/>
        <v>374.09999999999997</v>
      </c>
      <c r="L118" s="50">
        <f t="shared" si="564"/>
        <v>349.1</v>
      </c>
      <c r="M118" s="26">
        <f t="shared" si="564"/>
        <v>1457.9000000000003</v>
      </c>
      <c r="N118" s="50">
        <f t="shared" si="564"/>
        <v>246.99999999999997</v>
      </c>
      <c r="O118" s="50">
        <f t="shared" si="564"/>
        <v>247.60000000000002</v>
      </c>
      <c r="P118" s="50">
        <f t="shared" si="564"/>
        <v>261.5</v>
      </c>
      <c r="Q118" s="103">
        <f t="shared" si="564"/>
        <v>298.2</v>
      </c>
      <c r="R118" s="26">
        <f t="shared" si="564"/>
        <v>1054.3</v>
      </c>
      <c r="S118" s="50">
        <f t="shared" si="564"/>
        <v>273.5</v>
      </c>
      <c r="T118" s="50">
        <f t="shared" si="564"/>
        <v>313.7</v>
      </c>
      <c r="U118" s="50">
        <f t="shared" si="564"/>
        <v>341.70000000000005</v>
      </c>
      <c r="V118" s="50">
        <f t="shared" si="564"/>
        <v>361.43910000000005</v>
      </c>
      <c r="W118" s="26">
        <f t="shared" si="564"/>
        <v>1290.3390999999999</v>
      </c>
      <c r="X118" s="50">
        <f t="shared" si="564"/>
        <v>316.90835000000004</v>
      </c>
      <c r="Y118" s="50">
        <f t="shared" si="564"/>
        <v>326.24799999999999</v>
      </c>
      <c r="Z118" s="50">
        <f t="shared" si="564"/>
        <v>350.37912000000006</v>
      </c>
      <c r="AA118" s="50">
        <f t="shared" si="564"/>
        <v>345.81175200000001</v>
      </c>
      <c r="AB118" s="26">
        <f t="shared" si="564"/>
        <v>1339.3472220000001</v>
      </c>
      <c r="AC118" s="50">
        <f t="shared" ref="AC118:AF118" si="565">AC110+AC112+AC114+AC115+AC117</f>
        <v>320.04143600000009</v>
      </c>
      <c r="AD118" s="50">
        <f t="shared" si="565"/>
        <v>339.29792000000003</v>
      </c>
      <c r="AE118" s="50">
        <f t="shared" si="565"/>
        <v>354.01741440000001</v>
      </c>
      <c r="AF118" s="50">
        <f t="shared" si="565"/>
        <v>349.21478592000005</v>
      </c>
      <c r="AG118" s="26">
        <f t="shared" si="564"/>
        <v>1362.5715563200001</v>
      </c>
      <c r="AH118" s="50">
        <f t="shared" si="564"/>
        <v>331.35434675200008</v>
      </c>
      <c r="AI118" s="50">
        <f t="shared" si="564"/>
        <v>352.86983680000009</v>
      </c>
      <c r="AJ118" s="50">
        <f t="shared" si="564"/>
        <v>362.78213836800012</v>
      </c>
      <c r="AK118" s="50">
        <f t="shared" si="564"/>
        <v>361.0140546355201</v>
      </c>
      <c r="AL118" s="26">
        <f t="shared" si="564"/>
        <v>1408.0203765555202</v>
      </c>
      <c r="AM118" s="50">
        <f t="shared" si="564"/>
        <v>344.60852062208011</v>
      </c>
      <c r="AN118" s="50">
        <f t="shared" si="564"/>
        <v>366.98463027200012</v>
      </c>
      <c r="AO118" s="50">
        <f t="shared" si="564"/>
        <v>377.29342390272006</v>
      </c>
      <c r="AP118" s="50">
        <f t="shared" si="564"/>
        <v>375.45461682094094</v>
      </c>
      <c r="AQ118" s="26">
        <f t="shared" si="564"/>
        <v>1464.3411916177413</v>
      </c>
      <c r="AR118" s="50">
        <f t="shared" si="564"/>
        <v>358.39286144696342</v>
      </c>
      <c r="AS118" s="50">
        <f t="shared" si="564"/>
        <v>381.66401548288013</v>
      </c>
      <c r="AT118" s="50">
        <f t="shared" si="564"/>
        <v>392.38516085882884</v>
      </c>
      <c r="AU118" s="50">
        <f t="shared" si="564"/>
        <v>390.47280149377849</v>
      </c>
      <c r="AV118" s="26">
        <f t="shared" ref="AV118" si="566">AV110+AV112+AV114+AV115+AV117</f>
        <v>1522.9148392824509</v>
      </c>
    </row>
    <row r="119" spans="2:48" ht="16.2" outlineLevel="1" x14ac:dyDescent="0.45">
      <c r="B119" s="47" t="s">
        <v>36</v>
      </c>
      <c r="C119" s="44"/>
      <c r="D119" s="52">
        <v>41.4</v>
      </c>
      <c r="E119" s="104">
        <v>40.200000000000003</v>
      </c>
      <c r="F119" s="104">
        <v>48.8</v>
      </c>
      <c r="G119" s="104">
        <v>65.099999999999994</v>
      </c>
      <c r="H119" s="193">
        <f>SUM(D119:G119)</f>
        <v>195.49999999999997</v>
      </c>
      <c r="I119" s="104">
        <v>43</v>
      </c>
      <c r="J119" s="104">
        <v>43.1</v>
      </c>
      <c r="K119" s="104">
        <v>51</v>
      </c>
      <c r="L119" s="104">
        <v>83</v>
      </c>
      <c r="M119" s="193">
        <f>SUM(I119:L119)</f>
        <v>220.1</v>
      </c>
      <c r="N119" s="104">
        <v>56.4</v>
      </c>
      <c r="O119" s="104">
        <v>50.3</v>
      </c>
      <c r="P119" s="104">
        <v>63.5</v>
      </c>
      <c r="Q119" s="104">
        <v>79.7</v>
      </c>
      <c r="R119" s="193">
        <f>SUM(N119:Q119)</f>
        <v>249.89999999999998</v>
      </c>
      <c r="S119" s="104">
        <v>39.6</v>
      </c>
      <c r="T119" s="104">
        <v>48.5</v>
      </c>
      <c r="U119" s="104">
        <v>53.7</v>
      </c>
      <c r="V119" s="56">
        <f>U119</f>
        <v>53.7</v>
      </c>
      <c r="W119" s="193">
        <f>SUM(S119:V119)</f>
        <v>195.5</v>
      </c>
      <c r="X119" s="56">
        <f>V119</f>
        <v>53.7</v>
      </c>
      <c r="Y119" s="56">
        <f>X119</f>
        <v>53.7</v>
      </c>
      <c r="Z119" s="56">
        <f>Y119</f>
        <v>53.7</v>
      </c>
      <c r="AA119" s="56">
        <f>Z119</f>
        <v>53.7</v>
      </c>
      <c r="AB119" s="193">
        <f>SUM(X119:AA119)</f>
        <v>214.8</v>
      </c>
      <c r="AC119" s="56">
        <f>AA119</f>
        <v>53.7</v>
      </c>
      <c r="AD119" s="56">
        <f>AC119</f>
        <v>53.7</v>
      </c>
      <c r="AE119" s="56">
        <f>AD119</f>
        <v>53.7</v>
      </c>
      <c r="AF119" s="56">
        <f>AE119</f>
        <v>53.7</v>
      </c>
      <c r="AG119" s="193">
        <f>SUM(AC119:AF119)</f>
        <v>214.8</v>
      </c>
      <c r="AH119" s="56">
        <f>AF119</f>
        <v>53.7</v>
      </c>
      <c r="AI119" s="56">
        <f>AH119</f>
        <v>53.7</v>
      </c>
      <c r="AJ119" s="56">
        <f>AI119</f>
        <v>53.7</v>
      </c>
      <c r="AK119" s="56">
        <f>AJ119</f>
        <v>53.7</v>
      </c>
      <c r="AL119" s="193">
        <f>SUM(AH119:AK119)</f>
        <v>214.8</v>
      </c>
      <c r="AM119" s="56">
        <f>AK119</f>
        <v>53.7</v>
      </c>
      <c r="AN119" s="56">
        <f>AM119</f>
        <v>53.7</v>
      </c>
      <c r="AO119" s="56">
        <f>AN119</f>
        <v>53.7</v>
      </c>
      <c r="AP119" s="56">
        <f>AO119</f>
        <v>53.7</v>
      </c>
      <c r="AQ119" s="193">
        <f>SUM(AM119:AP119)</f>
        <v>214.8</v>
      </c>
      <c r="AR119" s="56">
        <f>AP119</f>
        <v>53.7</v>
      </c>
      <c r="AS119" s="56">
        <f>AR119</f>
        <v>53.7</v>
      </c>
      <c r="AT119" s="56">
        <f>AS119</f>
        <v>53.7</v>
      </c>
      <c r="AU119" s="56">
        <f>AT119</f>
        <v>53.7</v>
      </c>
      <c r="AV119" s="193">
        <f>SUM(AR119:AU119)</f>
        <v>214.8</v>
      </c>
    </row>
    <row r="120" spans="2:48" outlineLevel="1" x14ac:dyDescent="0.3">
      <c r="B120" s="46" t="s">
        <v>53</v>
      </c>
      <c r="C120" s="44"/>
      <c r="D120" s="156">
        <f t="shared" ref="D120:AU120" si="567">D108-D118+D119</f>
        <v>175.80000000000004</v>
      </c>
      <c r="E120" s="156">
        <f t="shared" si="567"/>
        <v>148.89999999999998</v>
      </c>
      <c r="F120" s="156">
        <f t="shared" si="567"/>
        <v>181.89999999999998</v>
      </c>
      <c r="G120" s="156">
        <f t="shared" si="567"/>
        <v>190.89999999999995</v>
      </c>
      <c r="H120" s="97">
        <f t="shared" si="567"/>
        <v>697.5</v>
      </c>
      <c r="I120" s="156">
        <f t="shared" si="567"/>
        <v>175.5</v>
      </c>
      <c r="J120" s="156">
        <f t="shared" si="567"/>
        <v>189.6</v>
      </c>
      <c r="K120" s="156">
        <f t="shared" si="567"/>
        <v>124.20000000000005</v>
      </c>
      <c r="L120" s="74">
        <f t="shared" si="567"/>
        <v>197.89999999999998</v>
      </c>
      <c r="M120" s="97">
        <f t="shared" si="567"/>
        <v>687.1999999999997</v>
      </c>
      <c r="N120" s="74">
        <f t="shared" si="567"/>
        <v>180.8</v>
      </c>
      <c r="O120" s="74">
        <f t="shared" si="567"/>
        <v>172.59999999999997</v>
      </c>
      <c r="P120" s="74">
        <f t="shared" si="567"/>
        <v>216</v>
      </c>
      <c r="Q120" s="74">
        <f t="shared" si="567"/>
        <v>219.8</v>
      </c>
      <c r="R120" s="97">
        <f t="shared" si="567"/>
        <v>789.19999999999993</v>
      </c>
      <c r="S120" s="74">
        <f t="shared" si="567"/>
        <v>183.20000000000002</v>
      </c>
      <c r="T120" s="74">
        <f t="shared" si="567"/>
        <v>197.90000000000003</v>
      </c>
      <c r="U120" s="74">
        <f t="shared" si="567"/>
        <v>191.69999999999993</v>
      </c>
      <c r="V120" s="74">
        <f t="shared" si="567"/>
        <v>174.39089999999999</v>
      </c>
      <c r="W120" s="97">
        <f t="shared" si="567"/>
        <v>747.19090000000028</v>
      </c>
      <c r="X120" s="74">
        <f t="shared" si="567"/>
        <v>195.60165000000001</v>
      </c>
      <c r="Y120" s="74">
        <f t="shared" si="567"/>
        <v>209.07600000000002</v>
      </c>
      <c r="Z120" s="74">
        <f t="shared" si="567"/>
        <v>202.20887999999997</v>
      </c>
      <c r="AA120" s="74">
        <f t="shared" si="567"/>
        <v>209.30344800000006</v>
      </c>
      <c r="AB120" s="97">
        <f t="shared" si="567"/>
        <v>816.18997800000011</v>
      </c>
      <c r="AC120" s="74">
        <f t="shared" ref="AC120:AF120" si="568">AC108-AC118+AC119</f>
        <v>210.820964</v>
      </c>
      <c r="AD120" s="74">
        <f t="shared" si="568"/>
        <v>215.29104000000001</v>
      </c>
      <c r="AE120" s="74">
        <f t="shared" si="568"/>
        <v>218.52610559999999</v>
      </c>
      <c r="AF120" s="74">
        <f t="shared" si="568"/>
        <v>225.95702208000006</v>
      </c>
      <c r="AG120" s="97">
        <f t="shared" si="567"/>
        <v>870.59513168000035</v>
      </c>
      <c r="AH120" s="74">
        <f t="shared" si="567"/>
        <v>218.59454924800002</v>
      </c>
      <c r="AI120" s="74">
        <f t="shared" si="567"/>
        <v>221.75468160000003</v>
      </c>
      <c r="AJ120" s="74">
        <f t="shared" si="567"/>
        <v>230.51512243199994</v>
      </c>
      <c r="AK120" s="74">
        <f t="shared" si="567"/>
        <v>235.01662568448006</v>
      </c>
      <c r="AL120" s="97">
        <f t="shared" si="567"/>
        <v>905.88097896448039</v>
      </c>
      <c r="AM120" s="74">
        <f t="shared" si="567"/>
        <v>225.19033121792006</v>
      </c>
      <c r="AN120" s="74">
        <f t="shared" si="567"/>
        <v>228.47686886399998</v>
      </c>
      <c r="AO120" s="74">
        <f t="shared" si="567"/>
        <v>237.58772732927997</v>
      </c>
      <c r="AP120" s="74">
        <f t="shared" si="567"/>
        <v>242.26929071185924</v>
      </c>
      <c r="AQ120" s="97">
        <f t="shared" si="567"/>
        <v>933.5242181230592</v>
      </c>
      <c r="AR120" s="74">
        <f t="shared" si="567"/>
        <v>232.04994446663682</v>
      </c>
      <c r="AS120" s="74">
        <f t="shared" si="567"/>
        <v>235.46794361856001</v>
      </c>
      <c r="AT120" s="74">
        <f t="shared" si="567"/>
        <v>244.94323642245121</v>
      </c>
      <c r="AU120" s="74">
        <f t="shared" si="567"/>
        <v>249.81206234033368</v>
      </c>
      <c r="AV120" s="97">
        <f t="shared" ref="AV120" si="569">AV108-AV118+AV119</f>
        <v>962.27318684798206</v>
      </c>
    </row>
    <row r="121" spans="2:48" outlineLevel="1" x14ac:dyDescent="0.3">
      <c r="B121" s="46" t="s">
        <v>54</v>
      </c>
      <c r="C121" s="44"/>
      <c r="D121" s="157">
        <f>+D120/D108</f>
        <v>0.34839476813317488</v>
      </c>
      <c r="E121" s="157">
        <f>+E120/E108</f>
        <v>0.33340797133900574</v>
      </c>
      <c r="F121" s="157">
        <f>+F120/F108</f>
        <v>0.34108381773860863</v>
      </c>
      <c r="G121" s="157">
        <f>+G120/G108</f>
        <v>0.37571344223578024</v>
      </c>
      <c r="H121" s="125">
        <f>H120/H108</f>
        <v>0.35004516711833789</v>
      </c>
      <c r="I121" s="157">
        <f t="shared" ref="I121:AU121" si="570">+I120/I108</f>
        <v>0.3548321876263647</v>
      </c>
      <c r="J121" s="157">
        <f t="shared" si="570"/>
        <v>0.36524754382585239</v>
      </c>
      <c r="K121" s="157">
        <f t="shared" si="570"/>
        <v>0.27766599597585523</v>
      </c>
      <c r="L121" s="75">
        <f t="shared" si="570"/>
        <v>0.42650862068965512</v>
      </c>
      <c r="M121" s="98">
        <f t="shared" si="570"/>
        <v>0.35698701298701285</v>
      </c>
      <c r="N121" s="75">
        <f t="shared" si="570"/>
        <v>0.48680667743672595</v>
      </c>
      <c r="O121" s="75">
        <f t="shared" si="570"/>
        <v>0.46661259799945926</v>
      </c>
      <c r="P121" s="75">
        <f t="shared" si="570"/>
        <v>0.52173913043478259</v>
      </c>
      <c r="Q121" s="75">
        <f t="shared" si="570"/>
        <v>0.50148300250969657</v>
      </c>
      <c r="R121" s="98">
        <f t="shared" si="570"/>
        <v>0.49523092369477911</v>
      </c>
      <c r="S121" s="75">
        <f t="shared" si="570"/>
        <v>0.43922320786382163</v>
      </c>
      <c r="T121" s="75">
        <f t="shared" si="570"/>
        <v>0.42733750809760318</v>
      </c>
      <c r="U121" s="75">
        <f t="shared" si="570"/>
        <v>0.3996247654784239</v>
      </c>
      <c r="V121" s="75">
        <f t="shared" si="570"/>
        <v>0.36170929002551172</v>
      </c>
      <c r="W121" s="98">
        <f t="shared" si="570"/>
        <v>0.40563449020917153</v>
      </c>
      <c r="X121" s="75">
        <f t="shared" si="570"/>
        <v>0.42632385954970464</v>
      </c>
      <c r="Y121" s="75">
        <f t="shared" si="570"/>
        <v>0.43410627377373223</v>
      </c>
      <c r="Z121" s="75">
        <f t="shared" si="570"/>
        <v>0.40531918987828924</v>
      </c>
      <c r="AA121" s="75">
        <f t="shared" si="570"/>
        <v>0.41742541510508663</v>
      </c>
      <c r="AB121" s="98">
        <f t="shared" si="570"/>
        <v>0.42055667196980612</v>
      </c>
      <c r="AC121" s="75">
        <f t="shared" ref="AC121:AF121" si="571">+AC120/AC108</f>
        <v>0.44182224751992183</v>
      </c>
      <c r="AD121" s="75">
        <f t="shared" si="571"/>
        <v>0.42981789816249888</v>
      </c>
      <c r="AE121" s="75">
        <f t="shared" si="571"/>
        <v>0.42117921333969821</v>
      </c>
      <c r="AF121" s="75">
        <f t="shared" si="571"/>
        <v>0.43330630460467767</v>
      </c>
      <c r="AG121" s="98">
        <f t="shared" si="570"/>
        <v>0.43133645479586913</v>
      </c>
      <c r="AH121" s="75">
        <f t="shared" si="570"/>
        <v>0.44049377441436155</v>
      </c>
      <c r="AI121" s="75">
        <f t="shared" si="570"/>
        <v>0.42569446007477457</v>
      </c>
      <c r="AJ121" s="75">
        <f t="shared" si="570"/>
        <v>0.4271984666679759</v>
      </c>
      <c r="AK121" s="75">
        <f t="shared" si="570"/>
        <v>0.43334562143120758</v>
      </c>
      <c r="AL121" s="98">
        <f t="shared" si="570"/>
        <v>0.43155656899667461</v>
      </c>
      <c r="AM121" s="75">
        <f t="shared" si="570"/>
        <v>0.43633178104363052</v>
      </c>
      <c r="AN121" s="75">
        <f t="shared" si="570"/>
        <v>0.42172961575965501</v>
      </c>
      <c r="AO121" s="75">
        <f t="shared" si="570"/>
        <v>0.42337082563747391</v>
      </c>
      <c r="AP121" s="75">
        <f t="shared" si="570"/>
        <v>0.42953727222594784</v>
      </c>
      <c r="AQ121" s="98">
        <f t="shared" si="570"/>
        <v>0.42762081885301745</v>
      </c>
      <c r="AR121" s="75">
        <f t="shared" si="570"/>
        <v>0.43232986434100434</v>
      </c>
      <c r="AS121" s="75">
        <f t="shared" si="570"/>
        <v>0.41791726545665547</v>
      </c>
      <c r="AT121" s="75">
        <f t="shared" si="570"/>
        <v>0.41969040156968351</v>
      </c>
      <c r="AU121" s="75">
        <f t="shared" si="570"/>
        <v>0.42587539799012136</v>
      </c>
      <c r="AV121" s="98">
        <f t="shared" ref="AV121" si="572">+AV120/AV108</f>
        <v>0.42383644371488588</v>
      </c>
    </row>
    <row r="122" spans="2:48" ht="17.399999999999999" x14ac:dyDescent="0.45">
      <c r="B122" s="433" t="s">
        <v>55</v>
      </c>
      <c r="C122" s="434"/>
      <c r="D122" s="14" t="s">
        <v>19</v>
      </c>
      <c r="E122" s="14" t="s">
        <v>81</v>
      </c>
      <c r="F122" s="14" t="s">
        <v>85</v>
      </c>
      <c r="G122" s="14" t="s">
        <v>95</v>
      </c>
      <c r="H122" s="40" t="s">
        <v>96</v>
      </c>
      <c r="I122" s="14" t="s">
        <v>97</v>
      </c>
      <c r="J122" s="14" t="s">
        <v>98</v>
      </c>
      <c r="K122" s="14" t="s">
        <v>99</v>
      </c>
      <c r="L122" s="14" t="s">
        <v>142</v>
      </c>
      <c r="M122" s="40" t="s">
        <v>143</v>
      </c>
      <c r="N122" s="14" t="s">
        <v>149</v>
      </c>
      <c r="O122" s="14" t="s">
        <v>157</v>
      </c>
      <c r="P122" s="14" t="s">
        <v>159</v>
      </c>
      <c r="Q122" s="14" t="s">
        <v>172</v>
      </c>
      <c r="R122" s="40" t="s">
        <v>173</v>
      </c>
      <c r="S122" s="14" t="s">
        <v>188</v>
      </c>
      <c r="T122" s="14" t="s">
        <v>189</v>
      </c>
      <c r="U122" s="14" t="s">
        <v>204</v>
      </c>
      <c r="V122" s="12" t="s">
        <v>25</v>
      </c>
      <c r="W122" s="42" t="s">
        <v>26</v>
      </c>
      <c r="X122" s="12" t="s">
        <v>27</v>
      </c>
      <c r="Y122" s="12" t="s">
        <v>28</v>
      </c>
      <c r="Z122" s="12" t="s">
        <v>29</v>
      </c>
      <c r="AA122" s="12" t="s">
        <v>30</v>
      </c>
      <c r="AB122" s="42" t="s">
        <v>31</v>
      </c>
      <c r="AC122" s="12" t="s">
        <v>90</v>
      </c>
      <c r="AD122" s="12" t="s">
        <v>91</v>
      </c>
      <c r="AE122" s="12" t="s">
        <v>92</v>
      </c>
      <c r="AF122" s="12" t="s">
        <v>93</v>
      </c>
      <c r="AG122" s="42" t="s">
        <v>94</v>
      </c>
      <c r="AH122" s="12" t="s">
        <v>109</v>
      </c>
      <c r="AI122" s="12" t="s">
        <v>110</v>
      </c>
      <c r="AJ122" s="12" t="s">
        <v>111</v>
      </c>
      <c r="AK122" s="12" t="s">
        <v>112</v>
      </c>
      <c r="AL122" s="42" t="s">
        <v>113</v>
      </c>
      <c r="AM122" s="12" t="s">
        <v>164</v>
      </c>
      <c r="AN122" s="12" t="s">
        <v>165</v>
      </c>
      <c r="AO122" s="12" t="s">
        <v>166</v>
      </c>
      <c r="AP122" s="12" t="s">
        <v>167</v>
      </c>
      <c r="AQ122" s="42" t="s">
        <v>168</v>
      </c>
      <c r="AR122" s="12" t="s">
        <v>195</v>
      </c>
      <c r="AS122" s="12" t="s">
        <v>196</v>
      </c>
      <c r="AT122" s="12" t="s">
        <v>197</v>
      </c>
      <c r="AU122" s="12" t="s">
        <v>198</v>
      </c>
      <c r="AV122" s="42" t="s">
        <v>199</v>
      </c>
    </row>
    <row r="123" spans="2:48" s="8" customFormat="1" outlineLevel="1" x14ac:dyDescent="0.3">
      <c r="B123" s="435" t="s">
        <v>127</v>
      </c>
      <c r="C123" s="436"/>
      <c r="D123" s="48">
        <v>11.6</v>
      </c>
      <c r="E123" s="48">
        <v>15.8</v>
      </c>
      <c r="F123" s="48">
        <v>23.3</v>
      </c>
      <c r="G123" s="48">
        <v>15.4</v>
      </c>
      <c r="H123" s="31">
        <f>SUM(D123:G123)</f>
        <v>66.100000000000009</v>
      </c>
      <c r="I123" s="48">
        <v>20.5</v>
      </c>
      <c r="J123" s="48">
        <v>12</v>
      </c>
      <c r="K123" s="48">
        <v>19.7</v>
      </c>
      <c r="L123" s="48">
        <v>13.9</v>
      </c>
      <c r="M123" s="31">
        <f>SUM(I123:L123)</f>
        <v>66.100000000000009</v>
      </c>
      <c r="N123" s="48">
        <v>20.5</v>
      </c>
      <c r="O123" s="48">
        <v>22.6</v>
      </c>
      <c r="P123" s="48">
        <v>23.8</v>
      </c>
      <c r="Q123" s="105">
        <v>30.8</v>
      </c>
      <c r="R123" s="31">
        <f>SUM(N123:Q123)</f>
        <v>97.7</v>
      </c>
      <c r="S123" s="48">
        <v>25.1</v>
      </c>
      <c r="T123" s="48">
        <v>24.4</v>
      </c>
      <c r="U123" s="48">
        <v>27.3</v>
      </c>
      <c r="V123" s="48">
        <f t="shared" ref="V123" si="573">+Q123*(1+V124)</f>
        <v>33.880000000000003</v>
      </c>
      <c r="W123" s="31">
        <f>SUM(S123:V123)</f>
        <v>110.68</v>
      </c>
      <c r="X123" s="48">
        <f>+S123*(1+X124)</f>
        <v>27.610000000000003</v>
      </c>
      <c r="Y123" s="48">
        <f>+T123*(1+Y124)</f>
        <v>26.84</v>
      </c>
      <c r="Z123" s="48">
        <f>+U123*(1+Z124)</f>
        <v>30.030000000000005</v>
      </c>
      <c r="AA123" s="48">
        <f t="shared" ref="AA123" si="574">+V123*(1+AA124)</f>
        <v>37.268000000000008</v>
      </c>
      <c r="AB123" s="31">
        <f>SUM(X123:AA123)</f>
        <v>121.74800000000002</v>
      </c>
      <c r="AC123" s="48">
        <f>+X123*(1+AC124)</f>
        <v>30.371000000000006</v>
      </c>
      <c r="AD123" s="48">
        <f>+Y123*(1+AD124)</f>
        <v>29.524000000000001</v>
      </c>
      <c r="AE123" s="48">
        <f>+Z123*(1+AE124)</f>
        <v>33.033000000000008</v>
      </c>
      <c r="AF123" s="48">
        <f t="shared" ref="AF123" si="575">+AA123*(1+AF124)</f>
        <v>40.994800000000012</v>
      </c>
      <c r="AG123" s="31">
        <f>SUM(AC123:AF123)</f>
        <v>133.92280000000005</v>
      </c>
      <c r="AH123" s="48">
        <f>+AC123*(1+AH124)</f>
        <v>33.408100000000012</v>
      </c>
      <c r="AI123" s="48">
        <f>+AD123*(1+AI124)</f>
        <v>32.476400000000005</v>
      </c>
      <c r="AJ123" s="48">
        <f>+AE123*(1+AJ124)</f>
        <v>36.336300000000016</v>
      </c>
      <c r="AK123" s="48">
        <f t="shared" ref="AK123" si="576">+AF123*(1+AK124)</f>
        <v>45.094280000000019</v>
      </c>
      <c r="AL123" s="31">
        <f>SUM(AH123:AK123)</f>
        <v>147.31508000000005</v>
      </c>
      <c r="AM123" s="48">
        <f>+AH123*(1+AM124)</f>
        <v>36.748910000000016</v>
      </c>
      <c r="AN123" s="48">
        <f>+AI123*(1+AN124)</f>
        <v>35.724040000000009</v>
      </c>
      <c r="AO123" s="48">
        <f>+AJ123*(1+AO124)</f>
        <v>39.969930000000019</v>
      </c>
      <c r="AP123" s="48">
        <f t="shared" ref="AP123" si="577">+AK123*(1+AP124)</f>
        <v>49.603708000000026</v>
      </c>
      <c r="AQ123" s="31">
        <f>SUM(AM123:AP123)</f>
        <v>162.04658800000007</v>
      </c>
      <c r="AR123" s="48">
        <f>+AM123*(1+AR124)</f>
        <v>40.423801000000019</v>
      </c>
      <c r="AS123" s="48">
        <f>+AN123*(1+AS124)</f>
        <v>39.296444000000015</v>
      </c>
      <c r="AT123" s="48">
        <f>+AO123*(1+AT124)</f>
        <v>43.966923000000023</v>
      </c>
      <c r="AU123" s="48">
        <f t="shared" ref="AU123" si="578">+AP123*(1+AU124)</f>
        <v>54.564078800000033</v>
      </c>
      <c r="AV123" s="31">
        <f>SUM(AR123:AU123)</f>
        <v>178.2512468000001</v>
      </c>
    </row>
    <row r="124" spans="2:48" s="8" customFormat="1" outlineLevel="1" x14ac:dyDescent="0.3">
      <c r="B124" s="38" t="s">
        <v>128</v>
      </c>
      <c r="C124" s="201"/>
      <c r="D124" s="30"/>
      <c r="E124" s="30"/>
      <c r="F124" s="30"/>
      <c r="G124" s="118"/>
      <c r="H124" s="130"/>
      <c r="I124" s="118">
        <f t="shared" ref="I124:J124" si="579">I123/D123-1</f>
        <v>0.76724137931034497</v>
      </c>
      <c r="J124" s="118">
        <f t="shared" si="579"/>
        <v>-0.24050632911392411</v>
      </c>
      <c r="K124" s="118">
        <f>K123/F123-1</f>
        <v>-0.15450643776824036</v>
      </c>
      <c r="L124" s="118">
        <f>L123/G123-1</f>
        <v>-9.740259740259738E-2</v>
      </c>
      <c r="M124" s="128">
        <f>M123/H123-1</f>
        <v>0</v>
      </c>
      <c r="N124" s="118">
        <f t="shared" ref="N124" si="580">N123/I123-1</f>
        <v>0</v>
      </c>
      <c r="O124" s="118">
        <f t="shared" ref="O124" si="581">O123/J123-1</f>
        <v>0.88333333333333353</v>
      </c>
      <c r="P124" s="118">
        <f t="shared" ref="P124" si="582">P123/K123-1</f>
        <v>0.20812182741116758</v>
      </c>
      <c r="Q124" s="118">
        <f t="shared" ref="Q124" si="583">Q123/L123-1</f>
        <v>1.2158273381294964</v>
      </c>
      <c r="R124" s="128">
        <f>R123/M123-1</f>
        <v>0.47806354009077134</v>
      </c>
      <c r="S124" s="118">
        <f t="shared" ref="S124" si="584">S123/N123-1</f>
        <v>0.224390243902439</v>
      </c>
      <c r="T124" s="118">
        <f t="shared" ref="T124:U124" si="585">T123/O123-1</f>
        <v>7.9646017699114946E-2</v>
      </c>
      <c r="U124" s="118">
        <f t="shared" si="585"/>
        <v>0.14705882352941169</v>
      </c>
      <c r="V124" s="34">
        <v>0.1</v>
      </c>
      <c r="W124" s="128">
        <f>W123/R123-1</f>
        <v>0.13285568065506648</v>
      </c>
      <c r="X124" s="34">
        <v>0.1</v>
      </c>
      <c r="Y124" s="34">
        <v>0.1</v>
      </c>
      <c r="Z124" s="34">
        <v>0.1</v>
      </c>
      <c r="AA124" s="34">
        <v>0.1</v>
      </c>
      <c r="AB124" s="128">
        <f>AB123/W123-1</f>
        <v>0.10000000000000009</v>
      </c>
      <c r="AC124" s="34">
        <v>0.1</v>
      </c>
      <c r="AD124" s="34">
        <v>0.1</v>
      </c>
      <c r="AE124" s="34">
        <v>0.1</v>
      </c>
      <c r="AF124" s="34">
        <v>0.1</v>
      </c>
      <c r="AG124" s="128">
        <f>AG123/AB123-1</f>
        <v>0.10000000000000031</v>
      </c>
      <c r="AH124" s="34">
        <v>0.1</v>
      </c>
      <c r="AI124" s="34">
        <v>0.1</v>
      </c>
      <c r="AJ124" s="34">
        <v>0.1</v>
      </c>
      <c r="AK124" s="34">
        <v>0.1</v>
      </c>
      <c r="AL124" s="128">
        <f>AL123/AG123-1</f>
        <v>9.9999999999999867E-2</v>
      </c>
      <c r="AM124" s="34">
        <v>0.1</v>
      </c>
      <c r="AN124" s="34">
        <v>0.1</v>
      </c>
      <c r="AO124" s="34">
        <v>0.1</v>
      </c>
      <c r="AP124" s="34">
        <v>0.1</v>
      </c>
      <c r="AQ124" s="128">
        <f>AQ123/AL123-1</f>
        <v>0.10000000000000009</v>
      </c>
      <c r="AR124" s="34">
        <v>0.1</v>
      </c>
      <c r="AS124" s="34">
        <v>0.1</v>
      </c>
      <c r="AT124" s="34">
        <v>0.1</v>
      </c>
      <c r="AU124" s="34">
        <v>0.1</v>
      </c>
      <c r="AV124" s="128">
        <f>AV123/AQ123-1</f>
        <v>0.10000000000000009</v>
      </c>
    </row>
    <row r="125" spans="2:48" outlineLevel="1" x14ac:dyDescent="0.3">
      <c r="B125" s="443" t="s">
        <v>100</v>
      </c>
      <c r="C125" s="444"/>
      <c r="D125" s="48">
        <v>13.4</v>
      </c>
      <c r="E125" s="48">
        <v>15.9</v>
      </c>
      <c r="F125" s="48">
        <v>22.4</v>
      </c>
      <c r="G125" s="105">
        <v>15.5</v>
      </c>
      <c r="H125" s="170"/>
      <c r="I125" s="105">
        <v>20.7</v>
      </c>
      <c r="J125" s="105">
        <v>10.199999999999999</v>
      </c>
      <c r="K125" s="105">
        <v>20.8</v>
      </c>
      <c r="L125" s="105">
        <v>11.6</v>
      </c>
      <c r="M125" s="31">
        <f>SUM(I125:L125)</f>
        <v>63.300000000000004</v>
      </c>
      <c r="N125" s="105">
        <v>19</v>
      </c>
      <c r="O125" s="105">
        <v>19.399999999999999</v>
      </c>
      <c r="P125" s="105">
        <v>19.8</v>
      </c>
      <c r="Q125" s="105">
        <v>28.2</v>
      </c>
      <c r="R125" s="31">
        <f>SUM(N125:Q125)</f>
        <v>86.4</v>
      </c>
      <c r="S125" s="105">
        <v>22.9</v>
      </c>
      <c r="T125" s="105">
        <v>20.8</v>
      </c>
      <c r="U125" s="105">
        <v>24.3</v>
      </c>
      <c r="V125" s="95">
        <v>24.3</v>
      </c>
      <c r="W125" s="31">
        <f>SUM(S125:V125)</f>
        <v>92.3</v>
      </c>
      <c r="X125" s="95">
        <v>24.3</v>
      </c>
      <c r="Y125" s="95">
        <v>24.3</v>
      </c>
      <c r="Z125" s="95">
        <v>24.3</v>
      </c>
      <c r="AA125" s="95">
        <v>24.3</v>
      </c>
      <c r="AB125" s="31">
        <f>SUM(X125:AA125)</f>
        <v>97.2</v>
      </c>
      <c r="AC125" s="95">
        <v>24.3</v>
      </c>
      <c r="AD125" s="95">
        <v>24.3</v>
      </c>
      <c r="AE125" s="95">
        <v>24.3</v>
      </c>
      <c r="AF125" s="95">
        <v>24.3</v>
      </c>
      <c r="AG125" s="31">
        <f>SUM(AC125:AF125)</f>
        <v>97.2</v>
      </c>
      <c r="AH125" s="95">
        <v>24.3</v>
      </c>
      <c r="AI125" s="95">
        <v>24.3</v>
      </c>
      <c r="AJ125" s="95">
        <v>24.3</v>
      </c>
      <c r="AK125" s="95">
        <v>24.3</v>
      </c>
      <c r="AL125" s="31">
        <f>SUM(AH125:AK125)</f>
        <v>97.2</v>
      </c>
      <c r="AM125" s="95">
        <v>24.3</v>
      </c>
      <c r="AN125" s="95">
        <v>24.3</v>
      </c>
      <c r="AO125" s="95">
        <v>24.3</v>
      </c>
      <c r="AP125" s="95">
        <v>24.3</v>
      </c>
      <c r="AQ125" s="31">
        <f>SUM(AM125:AP125)</f>
        <v>97.2</v>
      </c>
      <c r="AR125" s="95">
        <v>24.3</v>
      </c>
      <c r="AS125" s="95">
        <v>24.3</v>
      </c>
      <c r="AT125" s="95">
        <v>24.3</v>
      </c>
      <c r="AU125" s="95">
        <v>24.3</v>
      </c>
      <c r="AV125" s="31">
        <f>SUM(AR125:AU125)</f>
        <v>97.2</v>
      </c>
    </row>
    <row r="126" spans="2:48" outlineLevel="1" x14ac:dyDescent="0.3">
      <c r="B126" s="180" t="s">
        <v>33</v>
      </c>
      <c r="C126" s="18"/>
      <c r="D126" s="48">
        <v>3.2</v>
      </c>
      <c r="E126" s="48">
        <v>4.3</v>
      </c>
      <c r="F126" s="48">
        <v>5.8</v>
      </c>
      <c r="G126" s="105">
        <f>5.2+0.1</f>
        <v>5.3</v>
      </c>
      <c r="H126" s="170"/>
      <c r="I126" s="105">
        <v>2.8</v>
      </c>
      <c r="J126" s="105">
        <v>3.7</v>
      </c>
      <c r="K126" s="105">
        <v>4</v>
      </c>
      <c r="L126" s="105">
        <v>3.4</v>
      </c>
      <c r="M126" s="31">
        <f t="shared" ref="M126:M129" si="586">SUM(I126:L126)</f>
        <v>13.9</v>
      </c>
      <c r="N126" s="105">
        <v>3.6</v>
      </c>
      <c r="O126" s="105">
        <v>3.4</v>
      </c>
      <c r="P126" s="105">
        <v>3.3</v>
      </c>
      <c r="Q126" s="105">
        <v>4.5</v>
      </c>
      <c r="R126" s="31">
        <f t="shared" ref="R126:R129" si="587">SUM(N126:Q126)</f>
        <v>14.8</v>
      </c>
      <c r="S126" s="105">
        <v>2.9</v>
      </c>
      <c r="T126" s="105">
        <v>4.4000000000000004</v>
      </c>
      <c r="U126" s="105">
        <v>5.9</v>
      </c>
      <c r="V126" s="95">
        <v>5.9</v>
      </c>
      <c r="W126" s="31">
        <f t="shared" ref="W126:W129" si="588">SUM(S126:V126)</f>
        <v>19.100000000000001</v>
      </c>
      <c r="X126" s="95">
        <v>5.9</v>
      </c>
      <c r="Y126" s="95">
        <v>5.9</v>
      </c>
      <c r="Z126" s="95">
        <v>5.9</v>
      </c>
      <c r="AA126" s="95">
        <v>5.9</v>
      </c>
      <c r="AB126" s="31">
        <f t="shared" ref="AB126:AB129" si="589">SUM(X126:AA126)</f>
        <v>23.6</v>
      </c>
      <c r="AC126" s="95">
        <v>5.9</v>
      </c>
      <c r="AD126" s="95">
        <v>5.9</v>
      </c>
      <c r="AE126" s="95">
        <v>5.9</v>
      </c>
      <c r="AF126" s="95">
        <v>5.9</v>
      </c>
      <c r="AG126" s="31">
        <f t="shared" ref="AG126:AG129" si="590">SUM(AC126:AF126)</f>
        <v>23.6</v>
      </c>
      <c r="AH126" s="95">
        <v>5.9</v>
      </c>
      <c r="AI126" s="95">
        <v>5.9</v>
      </c>
      <c r="AJ126" s="95">
        <v>5.9</v>
      </c>
      <c r="AK126" s="95">
        <v>5.9</v>
      </c>
      <c r="AL126" s="31">
        <f t="shared" ref="AL126:AL129" si="591">SUM(AH126:AK126)</f>
        <v>23.6</v>
      </c>
      <c r="AM126" s="95">
        <v>5.9</v>
      </c>
      <c r="AN126" s="95">
        <v>5.9</v>
      </c>
      <c r="AO126" s="95">
        <v>5.9</v>
      </c>
      <c r="AP126" s="95">
        <v>5.9</v>
      </c>
      <c r="AQ126" s="31">
        <f t="shared" ref="AQ126:AQ129" si="592">SUM(AM126:AP126)</f>
        <v>23.6</v>
      </c>
      <c r="AR126" s="95">
        <v>5.9</v>
      </c>
      <c r="AS126" s="95">
        <v>5.9</v>
      </c>
      <c r="AT126" s="95">
        <v>5.9</v>
      </c>
      <c r="AU126" s="95">
        <v>5.9</v>
      </c>
      <c r="AV126" s="31">
        <f t="shared" ref="AV126:AV129" si="593">SUM(AR126:AU126)</f>
        <v>23.6</v>
      </c>
    </row>
    <row r="127" spans="2:48" outlineLevel="1" x14ac:dyDescent="0.3">
      <c r="B127" s="180" t="s">
        <v>34</v>
      </c>
      <c r="C127" s="18"/>
      <c r="D127" s="358">
        <v>39.5</v>
      </c>
      <c r="E127" s="358">
        <v>40.5</v>
      </c>
      <c r="F127" s="358">
        <v>39.6</v>
      </c>
      <c r="G127" s="358">
        <v>37.299999999999997</v>
      </c>
      <c r="H127" s="130"/>
      <c r="I127" s="358">
        <v>34.9</v>
      </c>
      <c r="J127" s="358">
        <v>34.5</v>
      </c>
      <c r="K127" s="358">
        <v>40.9</v>
      </c>
      <c r="L127" s="358">
        <v>39.5</v>
      </c>
      <c r="M127" s="126">
        <f t="shared" si="586"/>
        <v>149.80000000000001</v>
      </c>
      <c r="N127" s="358">
        <v>37</v>
      </c>
      <c r="O127" s="358">
        <v>37</v>
      </c>
      <c r="P127" s="358">
        <v>35.5</v>
      </c>
      <c r="Q127" s="358">
        <v>32.9</v>
      </c>
      <c r="R127" s="126">
        <f t="shared" si="587"/>
        <v>142.4</v>
      </c>
      <c r="S127" s="358">
        <v>32.9</v>
      </c>
      <c r="T127" s="358">
        <v>32.299999999999997</v>
      </c>
      <c r="U127" s="358">
        <v>30.6</v>
      </c>
      <c r="V127" s="358">
        <f>(U127/(U66+U99+U114+U127))*'CFS (Base-Case)'!V7*0.95</f>
        <v>31.661062128730872</v>
      </c>
      <c r="W127" s="126">
        <f t="shared" si="588"/>
        <v>127.46106212873086</v>
      </c>
      <c r="X127" s="358">
        <f>(V127/(V66+V99+V114+V127))*'CFS (Base-Case)'!X7*0.95</f>
        <v>32.186783408474412</v>
      </c>
      <c r="Y127" s="358">
        <f>(X127/(X66+X99+X114+X127))*'CFS (Base-Case)'!Y7*0.95</f>
        <v>33.565224590422503</v>
      </c>
      <c r="Z127" s="358">
        <f>(Y127/(Y66+Y99+Y114+Y127))*'CFS (Base-Case)'!Z7*0.95</f>
        <v>34.715693285330147</v>
      </c>
      <c r="AA127" s="358">
        <f>(Z127/(Z66+Z99+Z114+Z127))*'CFS (Base-Case)'!AA7*0.95</f>
        <v>36.102986641354832</v>
      </c>
      <c r="AB127" s="126">
        <f t="shared" si="589"/>
        <v>136.57068792558189</v>
      </c>
      <c r="AC127" s="358">
        <f>(AA127/(AA66+AA99+AA114+AA127))*'CFS (Base-Case)'!AC7*0.95</f>
        <v>37.50785230642898</v>
      </c>
      <c r="AD127" s="358">
        <f>(AC127/(AC66+AC99+AC114+AC127))*'CFS (Base-Case)'!AD7*0.95</f>
        <v>38.596652247308711</v>
      </c>
      <c r="AE127" s="358">
        <f>(AD127/(AD66+AD99+AD114+AD127))*'CFS (Base-Case)'!AE7*0.95</f>
        <v>39.42921759879561</v>
      </c>
      <c r="AF127" s="358">
        <f>(AE127/(AE66+AE99+AE114+AE127))*'CFS (Base-Case)'!AF7*0.95</f>
        <v>40.519644776125062</v>
      </c>
      <c r="AG127" s="126">
        <f t="shared" si="590"/>
        <v>156.05336692865836</v>
      </c>
      <c r="AH127" s="358">
        <f>(AF127/(AF66+AF99+AF114+AF127))*'CFS (Base-Case)'!AH7*0.95</f>
        <v>41.636935532824552</v>
      </c>
      <c r="AI127" s="358">
        <f>(AH127/(AH66+AH99+AH114+AH127))*'CFS (Base-Case)'!AI7*0.95</f>
        <v>42.471293252780285</v>
      </c>
      <c r="AJ127" s="358">
        <f>(AI127/(AI66+AI99+AI114+AI127))*'CFS (Base-Case)'!AJ7*0.95</f>
        <v>43.068407001738159</v>
      </c>
      <c r="AK127" s="358">
        <f>(AJ127/(AJ66+AJ99+AJ114+AJ127))*'CFS (Base-Case)'!AK7*0.95</f>
        <v>43.937402824599232</v>
      </c>
      <c r="AL127" s="126">
        <f t="shared" si="591"/>
        <v>171.11403861194225</v>
      </c>
      <c r="AM127" s="358">
        <f>(AK127/(AK66+AK99+AK114+AK127))*'CFS (Base-Case)'!AM7*0.95</f>
        <v>44.851302655789205</v>
      </c>
      <c r="AN127" s="358">
        <f>(AM127/(AM66+AM99+AM114+AM127))*'CFS (Base-Case)'!AN7*0.95</f>
        <v>45.827083974647138</v>
      </c>
      <c r="AO127" s="358">
        <f>(AN127/(AN66+AN99+AN114+AN127))*'CFS (Base-Case)'!AO7*0.95</f>
        <v>46.521455736833836</v>
      </c>
      <c r="AP127" s="358">
        <f>(AO127/(AO66+AO99+AO114+AO127))*'CFS (Base-Case)'!AP7*0.95</f>
        <v>47.496199869089949</v>
      </c>
      <c r="AQ127" s="126">
        <f t="shared" si="592"/>
        <v>184.69604223636014</v>
      </c>
      <c r="AR127" s="358">
        <f>(AP127/(AP66+AP99+AP114+AP127))*'CFS (Base-Case)'!AR7*0.95</f>
        <v>48.506227541561138</v>
      </c>
      <c r="AS127" s="358">
        <f>(AR127/(AR66+AR99+AR114+AR127))*'CFS (Base-Case)'!AS7*0.95</f>
        <v>49.500770246648941</v>
      </c>
      <c r="AT127" s="358">
        <f>(AS127/(AS66+AS99+AS114+AS127))*'CFS (Base-Case)'!AT7*0.95</f>
        <v>50.195673613080416</v>
      </c>
      <c r="AU127" s="358">
        <f>(AT127/(AT66+AT99+AT114+AT127))*'CFS (Base-Case)'!AU7*0.95</f>
        <v>51.190634355971085</v>
      </c>
      <c r="AV127" s="126">
        <f t="shared" si="593"/>
        <v>199.3933057572616</v>
      </c>
    </row>
    <row r="128" spans="2:48" outlineLevel="1" x14ac:dyDescent="0.3">
      <c r="B128" s="180" t="s">
        <v>35</v>
      </c>
      <c r="C128" s="18"/>
      <c r="D128" s="48">
        <v>300.39999999999998</v>
      </c>
      <c r="E128" s="48">
        <v>303.89999999999998</v>
      </c>
      <c r="F128" s="48">
        <v>299</v>
      </c>
      <c r="G128" s="105">
        <v>267.39999999999998</v>
      </c>
      <c r="H128" s="170"/>
      <c r="I128" s="105">
        <v>292.2</v>
      </c>
      <c r="J128" s="105">
        <v>271.60000000000002</v>
      </c>
      <c r="K128" s="105">
        <v>269.10000000000002</v>
      </c>
      <c r="L128" s="105">
        <v>288.8</v>
      </c>
      <c r="M128" s="31">
        <f t="shared" si="586"/>
        <v>1121.7</v>
      </c>
      <c r="N128" s="105">
        <v>316.5</v>
      </c>
      <c r="O128" s="105">
        <v>304.60000000000002</v>
      </c>
      <c r="P128" s="105">
        <v>326.5</v>
      </c>
      <c r="Q128" s="105">
        <v>321</v>
      </c>
      <c r="R128" s="31">
        <f t="shared" si="587"/>
        <v>1268.5999999999999</v>
      </c>
      <c r="S128" s="105">
        <v>354.5</v>
      </c>
      <c r="T128" s="105">
        <v>328.1</v>
      </c>
      <c r="U128" s="105">
        <v>326.10000000000002</v>
      </c>
      <c r="V128" s="95">
        <v>332.42500000000001</v>
      </c>
      <c r="W128" s="31">
        <f t="shared" si="588"/>
        <v>1341.125</v>
      </c>
      <c r="X128" s="95">
        <v>332.42500000000001</v>
      </c>
      <c r="Y128" s="95">
        <v>332.42500000000001</v>
      </c>
      <c r="Z128" s="95">
        <v>332.42500000000001</v>
      </c>
      <c r="AA128" s="95">
        <v>332.42500000000001</v>
      </c>
      <c r="AB128" s="31">
        <f t="shared" si="589"/>
        <v>1329.7</v>
      </c>
      <c r="AC128" s="95">
        <v>332.42500000000001</v>
      </c>
      <c r="AD128" s="95">
        <v>332.42500000000001</v>
      </c>
      <c r="AE128" s="95">
        <v>332.42500000000001</v>
      </c>
      <c r="AF128" s="95">
        <v>332.42500000000001</v>
      </c>
      <c r="AG128" s="31">
        <f t="shared" si="590"/>
        <v>1329.7</v>
      </c>
      <c r="AH128" s="95">
        <v>332.42500000000001</v>
      </c>
      <c r="AI128" s="95">
        <v>332.42500000000001</v>
      </c>
      <c r="AJ128" s="95">
        <v>332.42500000000001</v>
      </c>
      <c r="AK128" s="95">
        <v>332.42500000000001</v>
      </c>
      <c r="AL128" s="31">
        <f t="shared" si="591"/>
        <v>1329.7</v>
      </c>
      <c r="AM128" s="95">
        <v>332.42500000000001</v>
      </c>
      <c r="AN128" s="95">
        <v>332.42500000000001</v>
      </c>
      <c r="AO128" s="95">
        <v>332.42500000000001</v>
      </c>
      <c r="AP128" s="95">
        <v>332.42500000000001</v>
      </c>
      <c r="AQ128" s="31">
        <f t="shared" si="592"/>
        <v>1329.7</v>
      </c>
      <c r="AR128" s="95">
        <v>332.42500000000001</v>
      </c>
      <c r="AS128" s="95">
        <v>332.42500000000001</v>
      </c>
      <c r="AT128" s="95">
        <v>332.42500000000001</v>
      </c>
      <c r="AU128" s="95">
        <v>332.42500000000001</v>
      </c>
      <c r="AV128" s="31">
        <f t="shared" si="593"/>
        <v>1329.7</v>
      </c>
    </row>
    <row r="129" spans="2:48" ht="16.2" outlineLevel="1" x14ac:dyDescent="0.45">
      <c r="B129" s="180" t="s">
        <v>42</v>
      </c>
      <c r="C129" s="18"/>
      <c r="D129" s="119">
        <v>13.9</v>
      </c>
      <c r="E129" s="119">
        <v>0.6</v>
      </c>
      <c r="F129" s="119">
        <v>6</v>
      </c>
      <c r="G129" s="119">
        <v>-0.9</v>
      </c>
      <c r="H129" s="131"/>
      <c r="I129" s="119">
        <v>0.3</v>
      </c>
      <c r="J129" s="119">
        <v>0</v>
      </c>
      <c r="K129" s="119">
        <v>22.1</v>
      </c>
      <c r="L129" s="119">
        <v>0</v>
      </c>
      <c r="M129" s="193">
        <f t="shared" si="586"/>
        <v>22.400000000000002</v>
      </c>
      <c r="N129" s="119">
        <v>0</v>
      </c>
      <c r="O129" s="119">
        <v>0</v>
      </c>
      <c r="P129" s="119">
        <v>0</v>
      </c>
      <c r="Q129" s="119">
        <v>15</v>
      </c>
      <c r="R129" s="193">
        <f t="shared" si="587"/>
        <v>15</v>
      </c>
      <c r="S129" s="119">
        <v>0</v>
      </c>
      <c r="T129" s="119">
        <v>0</v>
      </c>
      <c r="U129" s="119">
        <v>2</v>
      </c>
      <c r="V129" s="119">
        <f>IFERROR((V163*(U129/U163)),0)</f>
        <v>7.1428571428571423</v>
      </c>
      <c r="W129" s="193">
        <f t="shared" si="588"/>
        <v>9.1428571428571423</v>
      </c>
      <c r="X129" s="119">
        <f>IFERROR((X163*(V129/V163)),0)</f>
        <v>7.1428571428571423</v>
      </c>
      <c r="Y129" s="119">
        <f t="shared" ref="Y129:AA129" si="594">IFERROR((Y163*(X129/X163)),0)</f>
        <v>0</v>
      </c>
      <c r="Z129" s="119">
        <f t="shared" si="594"/>
        <v>0</v>
      </c>
      <c r="AA129" s="119">
        <f t="shared" si="594"/>
        <v>0</v>
      </c>
      <c r="AB129" s="193">
        <f t="shared" si="589"/>
        <v>7.1428571428571423</v>
      </c>
      <c r="AC129" s="119">
        <f>IFERROR((AC163*(AA129/AA163)),0)</f>
        <v>0</v>
      </c>
      <c r="AD129" s="119">
        <f t="shared" ref="AD129:AF129" si="595">IFERROR((AD163*(AC129/AC163)),0)</f>
        <v>0</v>
      </c>
      <c r="AE129" s="119">
        <f t="shared" si="595"/>
        <v>0</v>
      </c>
      <c r="AF129" s="119">
        <f t="shared" si="595"/>
        <v>0</v>
      </c>
      <c r="AG129" s="193">
        <f t="shared" si="590"/>
        <v>0</v>
      </c>
      <c r="AH129" s="119">
        <f>IFERROR((AH163*(AF129/AF163)),0)</f>
        <v>0</v>
      </c>
      <c r="AI129" s="119">
        <f t="shared" ref="AI129:AK129" si="596">IFERROR((AI163*(AH129/AH163)),0)</f>
        <v>0</v>
      </c>
      <c r="AJ129" s="119">
        <f t="shared" si="596"/>
        <v>0</v>
      </c>
      <c r="AK129" s="119">
        <f t="shared" si="596"/>
        <v>0</v>
      </c>
      <c r="AL129" s="193">
        <f t="shared" si="591"/>
        <v>0</v>
      </c>
      <c r="AM129" s="119">
        <f>IFERROR((AM163*(AK129/AK163)),0)</f>
        <v>0</v>
      </c>
      <c r="AN129" s="119">
        <f t="shared" ref="AN129:AP129" si="597">IFERROR((AN163*(AM129/AM163)),0)</f>
        <v>0</v>
      </c>
      <c r="AO129" s="119">
        <f t="shared" si="597"/>
        <v>0</v>
      </c>
      <c r="AP129" s="119">
        <f t="shared" si="597"/>
        <v>0</v>
      </c>
      <c r="AQ129" s="193">
        <f t="shared" si="592"/>
        <v>0</v>
      </c>
      <c r="AR129" s="119">
        <f>IFERROR((AR163*(AP129/AP163)),0)</f>
        <v>0</v>
      </c>
      <c r="AS129" s="119">
        <f t="shared" ref="AS129:AU129" si="598">IFERROR((AS163*(AR129/AR163)),0)</f>
        <v>0</v>
      </c>
      <c r="AT129" s="119">
        <f t="shared" si="598"/>
        <v>0</v>
      </c>
      <c r="AU129" s="119">
        <f t="shared" si="598"/>
        <v>0</v>
      </c>
      <c r="AV129" s="193">
        <f t="shared" si="593"/>
        <v>0</v>
      </c>
    </row>
    <row r="130" spans="2:48" outlineLevel="1" x14ac:dyDescent="0.3">
      <c r="B130" s="46" t="s">
        <v>56</v>
      </c>
      <c r="C130" s="19"/>
      <c r="D130" s="103">
        <f>SUM(D125:D129)</f>
        <v>370.4</v>
      </c>
      <c r="E130" s="103">
        <f>SUM(E125:E129)</f>
        <v>365.2</v>
      </c>
      <c r="F130" s="103">
        <f>SUM(F125:F129)</f>
        <v>372.8</v>
      </c>
      <c r="G130" s="103">
        <f>SUM(G125:G129)</f>
        <v>324.60000000000002</v>
      </c>
      <c r="H130" s="130"/>
      <c r="I130" s="103">
        <f t="shared" ref="I130:AQ130" si="599">SUM(I125:I129)</f>
        <v>350.9</v>
      </c>
      <c r="J130" s="103">
        <f t="shared" si="599"/>
        <v>320</v>
      </c>
      <c r="K130" s="103">
        <f t="shared" si="599"/>
        <v>356.90000000000003</v>
      </c>
      <c r="L130" s="50">
        <f t="shared" si="599"/>
        <v>343.3</v>
      </c>
      <c r="M130" s="51">
        <f t="shared" si="599"/>
        <v>1371.1000000000001</v>
      </c>
      <c r="N130" s="50">
        <f t="shared" si="599"/>
        <v>376.1</v>
      </c>
      <c r="O130" s="50">
        <f t="shared" si="599"/>
        <v>364.40000000000003</v>
      </c>
      <c r="P130" s="50">
        <f t="shared" si="599"/>
        <v>385.1</v>
      </c>
      <c r="Q130" s="50">
        <f t="shared" si="599"/>
        <v>401.6</v>
      </c>
      <c r="R130" s="51">
        <f t="shared" si="599"/>
        <v>1527.1999999999998</v>
      </c>
      <c r="S130" s="50">
        <f t="shared" si="599"/>
        <v>413.2</v>
      </c>
      <c r="T130" s="50">
        <f t="shared" si="599"/>
        <v>385.6</v>
      </c>
      <c r="U130" s="50">
        <f t="shared" si="599"/>
        <v>388.90000000000003</v>
      </c>
      <c r="V130" s="50">
        <f t="shared" si="599"/>
        <v>401.42891927158809</v>
      </c>
      <c r="W130" s="51">
        <f t="shared" si="599"/>
        <v>1589.1289192715878</v>
      </c>
      <c r="X130" s="50">
        <f t="shared" si="599"/>
        <v>401.95464055133158</v>
      </c>
      <c r="Y130" s="50">
        <f t="shared" si="599"/>
        <v>396.19022459042253</v>
      </c>
      <c r="Z130" s="50">
        <f t="shared" si="599"/>
        <v>397.34069328533019</v>
      </c>
      <c r="AA130" s="50">
        <f t="shared" si="599"/>
        <v>398.72798664135485</v>
      </c>
      <c r="AB130" s="51">
        <f t="shared" si="599"/>
        <v>1594.2135450684391</v>
      </c>
      <c r="AC130" s="50">
        <f t="shared" si="599"/>
        <v>400.13285230642896</v>
      </c>
      <c r="AD130" s="50">
        <f t="shared" si="599"/>
        <v>401.22165224730873</v>
      </c>
      <c r="AE130" s="50">
        <f t="shared" si="599"/>
        <v>402.05421759879562</v>
      </c>
      <c r="AF130" s="50">
        <f t="shared" si="599"/>
        <v>403.14464477612506</v>
      </c>
      <c r="AG130" s="51">
        <f t="shared" si="599"/>
        <v>1606.5533669286583</v>
      </c>
      <c r="AH130" s="50">
        <f t="shared" si="599"/>
        <v>404.26193553282457</v>
      </c>
      <c r="AI130" s="50">
        <f t="shared" si="599"/>
        <v>405.0962932527803</v>
      </c>
      <c r="AJ130" s="50">
        <f t="shared" si="599"/>
        <v>405.69340700173814</v>
      </c>
      <c r="AK130" s="50">
        <f t="shared" si="599"/>
        <v>406.56240282459925</v>
      </c>
      <c r="AL130" s="51">
        <f t="shared" si="599"/>
        <v>1621.6140386119423</v>
      </c>
      <c r="AM130" s="50">
        <f t="shared" si="599"/>
        <v>407.47630265578925</v>
      </c>
      <c r="AN130" s="50">
        <f t="shared" si="599"/>
        <v>408.45208397464717</v>
      </c>
      <c r="AO130" s="50">
        <f t="shared" si="599"/>
        <v>409.14645573683384</v>
      </c>
      <c r="AP130" s="50">
        <f t="shared" si="599"/>
        <v>410.12119986908999</v>
      </c>
      <c r="AQ130" s="51">
        <f t="shared" si="599"/>
        <v>1635.1960422363602</v>
      </c>
      <c r="AR130" s="50">
        <f t="shared" ref="AR130:AV130" si="600">SUM(AR125:AR129)</f>
        <v>411.13122754156115</v>
      </c>
      <c r="AS130" s="50">
        <f t="shared" si="600"/>
        <v>412.12577024664893</v>
      </c>
      <c r="AT130" s="50">
        <f t="shared" si="600"/>
        <v>412.82067361308043</v>
      </c>
      <c r="AU130" s="50">
        <f t="shared" si="600"/>
        <v>413.8156343559711</v>
      </c>
      <c r="AV130" s="51">
        <f t="shared" si="600"/>
        <v>1649.8933057572617</v>
      </c>
    </row>
    <row r="131" spans="2:48" outlineLevel="1" x14ac:dyDescent="0.3">
      <c r="B131" s="46" t="s">
        <v>57</v>
      </c>
      <c r="C131" s="44"/>
      <c r="D131" s="156">
        <f>D123-D130</f>
        <v>-358.79999999999995</v>
      </c>
      <c r="E131" s="156">
        <f>E123-E130</f>
        <v>-349.4</v>
      </c>
      <c r="F131" s="156">
        <f>F123-F130</f>
        <v>-349.5</v>
      </c>
      <c r="G131" s="156">
        <f>G123-G130</f>
        <v>-309.20000000000005</v>
      </c>
      <c r="H131" s="158"/>
      <c r="I131" s="156">
        <f t="shared" ref="I131:AQ131" si="601">I123-I130</f>
        <v>-330.4</v>
      </c>
      <c r="J131" s="156">
        <f t="shared" si="601"/>
        <v>-308</v>
      </c>
      <c r="K131" s="156">
        <f t="shared" si="601"/>
        <v>-337.20000000000005</v>
      </c>
      <c r="L131" s="74">
        <f t="shared" si="601"/>
        <v>-329.40000000000003</v>
      </c>
      <c r="M131" s="194">
        <f t="shared" si="601"/>
        <v>-1305.0000000000002</v>
      </c>
      <c r="N131" s="74">
        <f t="shared" si="601"/>
        <v>-355.6</v>
      </c>
      <c r="O131" s="74">
        <f t="shared" si="601"/>
        <v>-341.8</v>
      </c>
      <c r="P131" s="74">
        <f t="shared" si="601"/>
        <v>-361.3</v>
      </c>
      <c r="Q131" s="74">
        <f t="shared" si="601"/>
        <v>-370.8</v>
      </c>
      <c r="R131" s="194">
        <f t="shared" si="601"/>
        <v>-1429.4999999999998</v>
      </c>
      <c r="S131" s="74">
        <f t="shared" si="601"/>
        <v>-388.09999999999997</v>
      </c>
      <c r="T131" s="74">
        <f t="shared" si="601"/>
        <v>-361.20000000000005</v>
      </c>
      <c r="U131" s="74">
        <f t="shared" si="601"/>
        <v>-361.6</v>
      </c>
      <c r="V131" s="74">
        <f t="shared" si="601"/>
        <v>-367.54891927158809</v>
      </c>
      <c r="W131" s="194">
        <f t="shared" si="601"/>
        <v>-1478.4489192715878</v>
      </c>
      <c r="X131" s="74">
        <f t="shared" si="601"/>
        <v>-374.34464055133157</v>
      </c>
      <c r="Y131" s="74">
        <f t="shared" si="601"/>
        <v>-369.35022459042256</v>
      </c>
      <c r="Z131" s="74">
        <f t="shared" si="601"/>
        <v>-367.31069328533016</v>
      </c>
      <c r="AA131" s="74">
        <f t="shared" si="601"/>
        <v>-361.45998664135482</v>
      </c>
      <c r="AB131" s="194">
        <f t="shared" si="601"/>
        <v>-1472.465545068439</v>
      </c>
      <c r="AC131" s="74">
        <f t="shared" si="601"/>
        <v>-369.76185230642898</v>
      </c>
      <c r="AD131" s="74">
        <f t="shared" si="601"/>
        <v>-371.69765224730872</v>
      </c>
      <c r="AE131" s="74">
        <f t="shared" si="601"/>
        <v>-369.0212175987956</v>
      </c>
      <c r="AF131" s="74">
        <f t="shared" si="601"/>
        <v>-362.14984477612506</v>
      </c>
      <c r="AG131" s="194">
        <f t="shared" si="601"/>
        <v>-1472.6305669286583</v>
      </c>
      <c r="AH131" s="74">
        <f t="shared" si="601"/>
        <v>-370.85383553282458</v>
      </c>
      <c r="AI131" s="74">
        <f t="shared" si="601"/>
        <v>-372.61989325278029</v>
      </c>
      <c r="AJ131" s="74">
        <f t="shared" si="601"/>
        <v>-369.35710700173814</v>
      </c>
      <c r="AK131" s="74">
        <f t="shared" si="601"/>
        <v>-361.46812282459922</v>
      </c>
      <c r="AL131" s="194">
        <f t="shared" si="601"/>
        <v>-1474.2989586119422</v>
      </c>
      <c r="AM131" s="74">
        <f t="shared" si="601"/>
        <v>-370.72739265578923</v>
      </c>
      <c r="AN131" s="74">
        <f t="shared" si="601"/>
        <v>-372.72804397464716</v>
      </c>
      <c r="AO131" s="74">
        <f t="shared" si="601"/>
        <v>-369.17652573683381</v>
      </c>
      <c r="AP131" s="74">
        <f t="shared" si="601"/>
        <v>-360.51749186908995</v>
      </c>
      <c r="AQ131" s="194">
        <f t="shared" si="601"/>
        <v>-1473.14945423636</v>
      </c>
      <c r="AR131" s="74">
        <f t="shared" ref="AR131:AV131" si="602">AR123-AR130</f>
        <v>-370.70742654156112</v>
      </c>
      <c r="AS131" s="74">
        <f t="shared" si="602"/>
        <v>-372.82932624664892</v>
      </c>
      <c r="AT131" s="74">
        <f t="shared" si="602"/>
        <v>-368.85375061308042</v>
      </c>
      <c r="AU131" s="74">
        <f t="shared" si="602"/>
        <v>-359.25155555597109</v>
      </c>
      <c r="AV131" s="194">
        <f t="shared" si="602"/>
        <v>-1471.6420589572617</v>
      </c>
    </row>
    <row r="132" spans="2:48" ht="17.399999999999999" x14ac:dyDescent="0.45">
      <c r="B132" s="433" t="s">
        <v>14</v>
      </c>
      <c r="C132" s="434"/>
      <c r="D132" s="14" t="s">
        <v>19</v>
      </c>
      <c r="E132" s="14" t="s">
        <v>81</v>
      </c>
      <c r="F132" s="14" t="s">
        <v>85</v>
      </c>
      <c r="G132" s="14" t="s">
        <v>95</v>
      </c>
      <c r="H132" s="40" t="s">
        <v>96</v>
      </c>
      <c r="I132" s="14" t="s">
        <v>97</v>
      </c>
      <c r="J132" s="14" t="s">
        <v>98</v>
      </c>
      <c r="K132" s="14" t="s">
        <v>99</v>
      </c>
      <c r="L132" s="14" t="s">
        <v>142</v>
      </c>
      <c r="M132" s="40" t="s">
        <v>143</v>
      </c>
      <c r="N132" s="14" t="s">
        <v>149</v>
      </c>
      <c r="O132" s="14" t="s">
        <v>157</v>
      </c>
      <c r="P132" s="14" t="s">
        <v>159</v>
      </c>
      <c r="Q132" s="14" t="s">
        <v>172</v>
      </c>
      <c r="R132" s="40" t="s">
        <v>173</v>
      </c>
      <c r="S132" s="14" t="s">
        <v>188</v>
      </c>
      <c r="T132" s="14" t="s">
        <v>189</v>
      </c>
      <c r="U132" s="14" t="s">
        <v>204</v>
      </c>
      <c r="V132" s="12" t="s">
        <v>25</v>
      </c>
      <c r="W132" s="42" t="s">
        <v>26</v>
      </c>
      <c r="X132" s="12" t="s">
        <v>27</v>
      </c>
      <c r="Y132" s="12" t="s">
        <v>28</v>
      </c>
      <c r="Z132" s="12" t="s">
        <v>29</v>
      </c>
      <c r="AA132" s="12" t="s">
        <v>30</v>
      </c>
      <c r="AB132" s="42" t="s">
        <v>31</v>
      </c>
      <c r="AC132" s="12" t="s">
        <v>90</v>
      </c>
      <c r="AD132" s="12" t="s">
        <v>91</v>
      </c>
      <c r="AE132" s="12" t="s">
        <v>92</v>
      </c>
      <c r="AF132" s="12" t="s">
        <v>93</v>
      </c>
      <c r="AG132" s="42" t="s">
        <v>94</v>
      </c>
      <c r="AH132" s="12" t="s">
        <v>109</v>
      </c>
      <c r="AI132" s="12" t="s">
        <v>110</v>
      </c>
      <c r="AJ132" s="12" t="s">
        <v>111</v>
      </c>
      <c r="AK132" s="12" t="s">
        <v>112</v>
      </c>
      <c r="AL132" s="42" t="s">
        <v>113</v>
      </c>
      <c r="AM132" s="12" t="s">
        <v>164</v>
      </c>
      <c r="AN132" s="12" t="s">
        <v>165</v>
      </c>
      <c r="AO132" s="12" t="s">
        <v>166</v>
      </c>
      <c r="AP132" s="12" t="s">
        <v>167</v>
      </c>
      <c r="AQ132" s="42" t="s">
        <v>168</v>
      </c>
      <c r="AR132" s="12" t="s">
        <v>195</v>
      </c>
      <c r="AS132" s="12" t="s">
        <v>196</v>
      </c>
      <c r="AT132" s="12" t="s">
        <v>197</v>
      </c>
      <c r="AU132" s="12" t="s">
        <v>198</v>
      </c>
      <c r="AV132" s="42" t="s">
        <v>199</v>
      </c>
    </row>
    <row r="133" spans="2:48" s="77" customFormat="1" ht="15.6" customHeight="1" outlineLevel="1" x14ac:dyDescent="0.3">
      <c r="B133" s="64" t="s">
        <v>59</v>
      </c>
      <c r="C133" s="78"/>
      <c r="D133" s="65">
        <f>+D45+D78-D5</f>
        <v>0</v>
      </c>
      <c r="E133" s="65">
        <f>+E45+E78-E5</f>
        <v>0</v>
      </c>
      <c r="F133" s="121">
        <f>+F45+F78-F5</f>
        <v>0</v>
      </c>
      <c r="G133" s="65">
        <f>+G45+G78-G5</f>
        <v>0</v>
      </c>
      <c r="H133" s="66"/>
      <c r="I133" s="65">
        <f>+I45+I78-I5</f>
        <v>0</v>
      </c>
      <c r="J133" s="65">
        <f>+J45+J78-J5</f>
        <v>0</v>
      </c>
      <c r="K133" s="121">
        <f>+K45+K78-K5</f>
        <v>0</v>
      </c>
      <c r="L133" s="65">
        <f>+L45+L78-L5</f>
        <v>0</v>
      </c>
      <c r="M133" s="66"/>
      <c r="N133" s="65">
        <f>+N45+N78-N5</f>
        <v>0</v>
      </c>
      <c r="O133" s="65">
        <f>+O45+O78-O5</f>
        <v>0</v>
      </c>
      <c r="P133" s="121">
        <f>+P45+P78-P5</f>
        <v>0</v>
      </c>
      <c r="Q133" s="65">
        <f>+Q45+Q78-Q5</f>
        <v>0</v>
      </c>
      <c r="R133" s="66"/>
      <c r="S133" s="65">
        <f>+S45+S78-S5</f>
        <v>0</v>
      </c>
      <c r="T133" s="65">
        <f>+T45+T78-T5</f>
        <v>0</v>
      </c>
      <c r="U133" s="121">
        <f>+U45+U78-U5</f>
        <v>0</v>
      </c>
      <c r="V133" s="65">
        <f>+V45+V78-V5</f>
        <v>0</v>
      </c>
      <c r="W133" s="66"/>
      <c r="X133" s="65">
        <f>+X45+X78-X5</f>
        <v>0</v>
      </c>
      <c r="Y133" s="65">
        <f>+Y45+Y78-Y5</f>
        <v>0</v>
      </c>
      <c r="Z133" s="121">
        <f>+Z45+Z78-Z5</f>
        <v>0</v>
      </c>
      <c r="AA133" s="65">
        <f>+AA45+AA78-AA5</f>
        <v>0</v>
      </c>
      <c r="AB133" s="66"/>
      <c r="AC133" s="65">
        <f>+AC45+AC78-AC5</f>
        <v>0</v>
      </c>
      <c r="AD133" s="65">
        <f>+AD45+AD78-AD5</f>
        <v>0</v>
      </c>
      <c r="AE133" s="121">
        <f>+AE45+AE78-AE5</f>
        <v>0</v>
      </c>
      <c r="AF133" s="65">
        <f>+AF45+AF78-AF5</f>
        <v>0</v>
      </c>
      <c r="AG133" s="66"/>
      <c r="AH133" s="65">
        <f>+AH45+AH78-AH5</f>
        <v>0</v>
      </c>
      <c r="AI133" s="65">
        <f>+AI45+AI78-AI5</f>
        <v>0</v>
      </c>
      <c r="AJ133" s="121">
        <f>+AJ45+AJ78-AJ5</f>
        <v>0</v>
      </c>
      <c r="AK133" s="65">
        <f>+AK45+AK78-AK5</f>
        <v>0</v>
      </c>
      <c r="AL133" s="66"/>
      <c r="AM133" s="65">
        <f>+AM45+AM78-AM5</f>
        <v>0</v>
      </c>
      <c r="AN133" s="65">
        <f>+AN45+AN78-AN5</f>
        <v>0</v>
      </c>
      <c r="AO133" s="121">
        <f>+AO45+AO78-AO5</f>
        <v>0</v>
      </c>
      <c r="AP133" s="65">
        <f>+AP45+AP78-AP5</f>
        <v>0</v>
      </c>
      <c r="AQ133" s="66"/>
      <c r="AR133" s="65">
        <f>+AR45+AR78-AR5</f>
        <v>0</v>
      </c>
      <c r="AS133" s="65">
        <f>+AS45+AS78-AS5</f>
        <v>0</v>
      </c>
      <c r="AT133" s="121">
        <f>+AT45+AT78-AT5</f>
        <v>0</v>
      </c>
      <c r="AU133" s="65">
        <f>+AU45+AU78-AU5</f>
        <v>0</v>
      </c>
      <c r="AV133" s="66"/>
    </row>
    <row r="134" spans="2:48" s="77" customFormat="1" ht="15.6" customHeight="1" outlineLevel="1" x14ac:dyDescent="0.3">
      <c r="B134" s="64" t="s">
        <v>60</v>
      </c>
      <c r="C134" s="78"/>
      <c r="D134" s="65">
        <f>+D54+D87-D6</f>
        <v>0</v>
      </c>
      <c r="E134" s="65">
        <f>+E54+E87-E6</f>
        <v>0</v>
      </c>
      <c r="F134" s="121">
        <f>+F54+F87-F6</f>
        <v>0</v>
      </c>
      <c r="G134" s="65">
        <f>+G54+G87-G6</f>
        <v>0</v>
      </c>
      <c r="H134" s="66"/>
      <c r="I134" s="65">
        <f>+I54+I87-I6</f>
        <v>0</v>
      </c>
      <c r="J134" s="65">
        <f>+J54+J87-J6</f>
        <v>0</v>
      </c>
      <c r="K134" s="121">
        <f>+K54+K87-K6</f>
        <v>0</v>
      </c>
      <c r="L134" s="65">
        <f>+L54+L87-L6</f>
        <v>0</v>
      </c>
      <c r="M134" s="66"/>
      <c r="N134" s="65">
        <f>+N54+N87-N6</f>
        <v>0</v>
      </c>
      <c r="O134" s="65">
        <f>+O54+O87-O6</f>
        <v>0</v>
      </c>
      <c r="P134" s="121">
        <f>+P54+P87-P6</f>
        <v>0</v>
      </c>
      <c r="Q134" s="65">
        <f>+Q54+Q87-Q6</f>
        <v>0</v>
      </c>
      <c r="R134" s="66"/>
      <c r="S134" s="65">
        <f>+S54+S87-S6</f>
        <v>0</v>
      </c>
      <c r="T134" s="65">
        <f>+T54+T87-T6</f>
        <v>0</v>
      </c>
      <c r="U134" s="121">
        <f>+U54+U87-U6</f>
        <v>0</v>
      </c>
      <c r="V134" s="65">
        <f>+V54+V87-V6</f>
        <v>0</v>
      </c>
      <c r="W134" s="66"/>
      <c r="X134" s="65">
        <f>+X54+X87-X6</f>
        <v>0</v>
      </c>
      <c r="Y134" s="65">
        <f>+Y54+Y87-Y6</f>
        <v>0</v>
      </c>
      <c r="Z134" s="121">
        <f>+Z54+Z87-Z6</f>
        <v>0</v>
      </c>
      <c r="AA134" s="65">
        <f>+AA54+AA87-AA6</f>
        <v>0</v>
      </c>
      <c r="AB134" s="66"/>
      <c r="AC134" s="65">
        <f>+AC54+AC87-AC6</f>
        <v>0</v>
      </c>
      <c r="AD134" s="65">
        <f>+AD54+AD87-AD6</f>
        <v>0</v>
      </c>
      <c r="AE134" s="121">
        <f>+AE54+AE87-AE6</f>
        <v>0</v>
      </c>
      <c r="AF134" s="65">
        <f>+AF54+AF87-AF6</f>
        <v>0</v>
      </c>
      <c r="AG134" s="66"/>
      <c r="AH134" s="65">
        <f>+AH54+AH87-AH6</f>
        <v>0</v>
      </c>
      <c r="AI134" s="65">
        <f>+AI54+AI87-AI6</f>
        <v>0</v>
      </c>
      <c r="AJ134" s="121">
        <f>+AJ54+AJ87-AJ6</f>
        <v>0</v>
      </c>
      <c r="AK134" s="65">
        <f>+AK54+AK87-AK6</f>
        <v>0</v>
      </c>
      <c r="AL134" s="66"/>
      <c r="AM134" s="65">
        <f>+AM54+AM87-AM6</f>
        <v>0</v>
      </c>
      <c r="AN134" s="65">
        <f>+AN54+AN87-AN6</f>
        <v>0</v>
      </c>
      <c r="AO134" s="121">
        <f>+AO54+AO87-AO6</f>
        <v>0</v>
      </c>
      <c r="AP134" s="65">
        <f>+AP54+AP87-AP6</f>
        <v>0</v>
      </c>
      <c r="AQ134" s="66"/>
      <c r="AR134" s="65">
        <f>+AR54+AR87-AR6</f>
        <v>0</v>
      </c>
      <c r="AS134" s="65">
        <f>+AS54+AS87-AS6</f>
        <v>0</v>
      </c>
      <c r="AT134" s="121">
        <f>+AT54+AT87-AT6</f>
        <v>0</v>
      </c>
      <c r="AU134" s="65">
        <f>+AU54+AU87-AU6</f>
        <v>0</v>
      </c>
      <c r="AV134" s="66"/>
    </row>
    <row r="135" spans="2:48" s="77" customFormat="1" ht="15.6" customHeight="1" outlineLevel="1" x14ac:dyDescent="0.3">
      <c r="B135" s="64" t="s">
        <v>61</v>
      </c>
      <c r="C135" s="78"/>
      <c r="D135" s="65">
        <f>+D55+D88+D108+D123-D7</f>
        <v>0</v>
      </c>
      <c r="E135" s="65">
        <f>+E55+E88+E108+E123-E7</f>
        <v>0</v>
      </c>
      <c r="F135" s="121">
        <f>+F55+F88+F108+F123-F7</f>
        <v>0</v>
      </c>
      <c r="G135" s="65">
        <f>+G55+G88+G108+G123-G7</f>
        <v>0</v>
      </c>
      <c r="H135" s="66"/>
      <c r="I135" s="65">
        <f>+I55+I88+I108+I123-I7</f>
        <v>0</v>
      </c>
      <c r="J135" s="65">
        <f>+J55+J88+J108+J123-J7</f>
        <v>0</v>
      </c>
      <c r="K135" s="121">
        <f>+K55+K88+K108+K123-K7</f>
        <v>0</v>
      </c>
      <c r="L135" s="65">
        <f>+L55+L88+L108+L123-L7</f>
        <v>0</v>
      </c>
      <c r="M135" s="66"/>
      <c r="N135" s="65">
        <f>+N55+N88+N108+N123-N7</f>
        <v>0</v>
      </c>
      <c r="O135" s="65">
        <f>+O55+O88+O108+O123-O7</f>
        <v>0</v>
      </c>
      <c r="P135" s="121">
        <f>+P55+P88+P108+P123-P7</f>
        <v>0</v>
      </c>
      <c r="Q135" s="65">
        <f>+Q55+Q88+Q108+Q123-Q7</f>
        <v>0</v>
      </c>
      <c r="R135" s="66"/>
      <c r="S135" s="65">
        <f>+S55+S88+S108+S123-S7</f>
        <v>0</v>
      </c>
      <c r="T135" s="65">
        <f>+T55+T88+T108+T123-T7</f>
        <v>0</v>
      </c>
      <c r="U135" s="121">
        <f>+U55+U88+U108+U123-U7</f>
        <v>0</v>
      </c>
      <c r="V135" s="65">
        <f>+V55+V88+V108+V123-V7</f>
        <v>0</v>
      </c>
      <c r="W135" s="66"/>
      <c r="X135" s="65">
        <f>+X55+X88+X108+X123-X7</f>
        <v>0</v>
      </c>
      <c r="Y135" s="65">
        <f>+Y55+Y88+Y108+Y123-Y7</f>
        <v>0</v>
      </c>
      <c r="Z135" s="121">
        <f>+Z55+Z88+Z108+Z123-Z7</f>
        <v>0</v>
      </c>
      <c r="AA135" s="65">
        <f>+AA55+AA88+AA108+AA123-AA7</f>
        <v>0</v>
      </c>
      <c r="AB135" s="66"/>
      <c r="AC135" s="65">
        <f>+AC55+AC88+AC108+AC123-AC7</f>
        <v>0</v>
      </c>
      <c r="AD135" s="65">
        <f>+AD55+AD88+AD108+AD123-AD7</f>
        <v>0</v>
      </c>
      <c r="AE135" s="121">
        <f>+AE55+AE88+AE108+AE123-AE7</f>
        <v>0</v>
      </c>
      <c r="AF135" s="65">
        <f>+AF55+AF88+AF108+AF123-AF7</f>
        <v>0</v>
      </c>
      <c r="AG135" s="66"/>
      <c r="AH135" s="65">
        <f>+AH55+AH88+AH108+AH123-AH7</f>
        <v>0</v>
      </c>
      <c r="AI135" s="65">
        <f>+AI55+AI88+AI108+AI123-AI7</f>
        <v>0</v>
      </c>
      <c r="AJ135" s="121">
        <f>+AJ55+AJ88+AJ108+AJ123-AJ7</f>
        <v>0</v>
      </c>
      <c r="AK135" s="65">
        <f>+AK55+AK88+AK108+AK123-AK7</f>
        <v>0</v>
      </c>
      <c r="AL135" s="66"/>
      <c r="AM135" s="65">
        <f>+AM55+AM88+AM108+AM123-AM7</f>
        <v>0</v>
      </c>
      <c r="AN135" s="65">
        <f>+AN55+AN88+AN108+AN123-AN7</f>
        <v>0</v>
      </c>
      <c r="AO135" s="121">
        <f>+AO55+AO88+AO108+AO123-AO7</f>
        <v>0</v>
      </c>
      <c r="AP135" s="65">
        <f>+AP55+AP88+AP108+AP123-AP7</f>
        <v>0</v>
      </c>
      <c r="AQ135" s="66"/>
      <c r="AR135" s="65">
        <f>+AR55+AR88+AR108+AR123-AR7</f>
        <v>0</v>
      </c>
      <c r="AS135" s="65">
        <f>+AS55+AS88+AS108+AS123-AS7</f>
        <v>0</v>
      </c>
      <c r="AT135" s="121">
        <f>+AT55+AT88+AT108+AT123-AT7</f>
        <v>0</v>
      </c>
      <c r="AU135" s="65">
        <f>+AU55+AU88+AU108+AU123-AU7</f>
        <v>0</v>
      </c>
      <c r="AV135" s="66"/>
    </row>
    <row r="136" spans="2:48" s="77" customFormat="1" ht="15.6" customHeight="1" outlineLevel="1" x14ac:dyDescent="0.3">
      <c r="B136" s="64" t="s">
        <v>36</v>
      </c>
      <c r="C136" s="78"/>
      <c r="D136" s="65">
        <f>+D119+D104-D16</f>
        <v>0</v>
      </c>
      <c r="E136" s="65">
        <f>+E119+E104-E16</f>
        <v>0</v>
      </c>
      <c r="F136" s="121">
        <f>+F119+F104-F16</f>
        <v>0</v>
      </c>
      <c r="G136" s="65">
        <f>+G119+G104-G16</f>
        <v>0</v>
      </c>
      <c r="H136" s="66"/>
      <c r="I136" s="65">
        <f>+I119+I104-I16</f>
        <v>0</v>
      </c>
      <c r="J136" s="65">
        <f>+J119+J104-J16</f>
        <v>0</v>
      </c>
      <c r="K136" s="121">
        <f>+K119+K104-K16</f>
        <v>0</v>
      </c>
      <c r="L136" s="65">
        <f>+L119+L104-L16</f>
        <v>0</v>
      </c>
      <c r="M136" s="66"/>
      <c r="N136" s="65">
        <f>+N119+N104-N16</f>
        <v>0</v>
      </c>
      <c r="O136" s="65">
        <f>+O119+O104-O16</f>
        <v>0</v>
      </c>
      <c r="P136" s="121">
        <f>+P119+P104-P16</f>
        <v>0</v>
      </c>
      <c r="Q136" s="65">
        <f>+Q119+Q104-Q16</f>
        <v>0</v>
      </c>
      <c r="R136" s="66"/>
      <c r="S136" s="65">
        <f>+S119+S104-S16</f>
        <v>0</v>
      </c>
      <c r="T136" s="65">
        <f>+T119+T104-T16</f>
        <v>0</v>
      </c>
      <c r="U136" s="121">
        <f>+U119+U104-U16</f>
        <v>0</v>
      </c>
      <c r="V136" s="65">
        <f>+V119+V104-V16</f>
        <v>0</v>
      </c>
      <c r="W136" s="66"/>
      <c r="X136" s="65">
        <f>+X119+X104-X16</f>
        <v>0</v>
      </c>
      <c r="Y136" s="65">
        <f>+Y119+Y104-Y16</f>
        <v>0</v>
      </c>
      <c r="Z136" s="121">
        <f>+Z119+Z104-Z16</f>
        <v>0</v>
      </c>
      <c r="AA136" s="65">
        <f>+AA119+AA104-AA16</f>
        <v>0</v>
      </c>
      <c r="AB136" s="66"/>
      <c r="AC136" s="65">
        <f>+AC119+AC104-AC16</f>
        <v>0</v>
      </c>
      <c r="AD136" s="65">
        <f>+AD119+AD104-AD16</f>
        <v>0</v>
      </c>
      <c r="AE136" s="121">
        <f>+AE119+AE104-AE16</f>
        <v>0</v>
      </c>
      <c r="AF136" s="65">
        <f>+AF119+AF104-AF16</f>
        <v>0</v>
      </c>
      <c r="AG136" s="66"/>
      <c r="AH136" s="65">
        <f>+AH119+AH104-AH16</f>
        <v>0</v>
      </c>
      <c r="AI136" s="65">
        <f>+AI119+AI104-AI16</f>
        <v>0</v>
      </c>
      <c r="AJ136" s="121">
        <f>+AJ119+AJ104-AJ16</f>
        <v>0</v>
      </c>
      <c r="AK136" s="65">
        <f>+AK119+AK104-AK16</f>
        <v>0</v>
      </c>
      <c r="AL136" s="66"/>
      <c r="AM136" s="65">
        <f>+AM119+AM104-AM16</f>
        <v>0</v>
      </c>
      <c r="AN136" s="65">
        <f>+AN119+AN104-AN16</f>
        <v>0</v>
      </c>
      <c r="AO136" s="121">
        <f>+AO119+AO104-AO16</f>
        <v>0</v>
      </c>
      <c r="AP136" s="65">
        <f>+AP119+AP104-AP16</f>
        <v>0</v>
      </c>
      <c r="AQ136" s="66"/>
      <c r="AR136" s="65">
        <f>+AR119+AR104-AR16</f>
        <v>0</v>
      </c>
      <c r="AS136" s="65">
        <f>+AS119+AS104-AS16</f>
        <v>0</v>
      </c>
      <c r="AT136" s="121">
        <f>+AT119+AT104-AT16</f>
        <v>0</v>
      </c>
      <c r="AU136" s="65">
        <f>+AU119+AU104-AU16</f>
        <v>0</v>
      </c>
      <c r="AV136" s="66"/>
    </row>
    <row r="137" spans="2:48" s="77" customFormat="1" ht="15.6" customHeight="1" outlineLevel="1" x14ac:dyDescent="0.3">
      <c r="B137" s="64" t="s">
        <v>62</v>
      </c>
      <c r="C137" s="78"/>
      <c r="D137" s="65">
        <f>+D71+D105+D120+D131-D17</f>
        <v>0</v>
      </c>
      <c r="E137" s="65">
        <f>+E71+E105+E120+E131-E17</f>
        <v>0</v>
      </c>
      <c r="F137" s="121">
        <f>+F71+F105+F120+F131-F17</f>
        <v>0</v>
      </c>
      <c r="G137" s="65">
        <f>+G71+G105+G120+G131-G17</f>
        <v>9.9999999998544808E-2</v>
      </c>
      <c r="H137" s="66"/>
      <c r="I137" s="65">
        <f>+I71+I105+I120+I131-I17</f>
        <v>0</v>
      </c>
      <c r="J137" s="65">
        <f>+J71+J105+J120+J131-J17</f>
        <v>6.8212102632969618E-13</v>
      </c>
      <c r="K137" s="121">
        <f>+K71+K105+K120+K131-K17</f>
        <v>0</v>
      </c>
      <c r="L137" s="65">
        <f>+L71+L105+L120+L131-L17</f>
        <v>-2.0999999999996817</v>
      </c>
      <c r="M137" s="66"/>
      <c r="N137" s="65">
        <f>+N71+N105+N120+N131-N17</f>
        <v>0</v>
      </c>
      <c r="O137" s="65">
        <f>+O71+O105+O120+O131-O17</f>
        <v>0</v>
      </c>
      <c r="P137" s="121">
        <f>+P71+P105+P120+P131-P17</f>
        <v>0</v>
      </c>
      <c r="Q137" s="65">
        <f>+Q71+Q105+Q120+Q131-Q17</f>
        <v>0</v>
      </c>
      <c r="R137" s="66"/>
      <c r="S137" s="65">
        <f>+S71+S105+S120+S131-S17</f>
        <v>0</v>
      </c>
      <c r="T137" s="65">
        <f>+T71+T105+T120+T131-T17</f>
        <v>0</v>
      </c>
      <c r="U137" s="121">
        <f>+U71+U105+U120+U131-U17</f>
        <v>0</v>
      </c>
      <c r="V137" s="65">
        <f>+V71+V105+V120+V131-V17</f>
        <v>0</v>
      </c>
      <c r="W137" s="66"/>
      <c r="X137" s="65">
        <f>+X71+X105+X120+X131-X17</f>
        <v>0</v>
      </c>
      <c r="Y137" s="65">
        <f>+Y71+Y105+Y120+Y131-Y17</f>
        <v>0</v>
      </c>
      <c r="Z137" s="121">
        <f>+Z71+Z105+Z120+Z131-Z17</f>
        <v>-1.8189894035458565E-12</v>
      </c>
      <c r="AA137" s="65">
        <f>+AA71+AA105+AA120+AA131-AA17</f>
        <v>0</v>
      </c>
      <c r="AB137" s="66"/>
      <c r="AC137" s="65">
        <f>+AC71+AC105+AC120+AC131-AC17</f>
        <v>2.0463630789890885E-12</v>
      </c>
      <c r="AD137" s="65">
        <f>+AD71+AD105+AD120+AD131-AD17</f>
        <v>0</v>
      </c>
      <c r="AE137" s="121">
        <f>+AE71+AE105+AE120+AE131-AE17</f>
        <v>0</v>
      </c>
      <c r="AF137" s="65">
        <f>+AF71+AF105+AF120+AF131-AF17</f>
        <v>0</v>
      </c>
      <c r="AG137" s="66"/>
      <c r="AH137" s="65">
        <f>+AH71+AH105+AH120+AH131-AH17</f>
        <v>0</v>
      </c>
      <c r="AI137" s="65">
        <f>+AI71+AI105+AI120+AI131-AI17</f>
        <v>0</v>
      </c>
      <c r="AJ137" s="121">
        <f>+AJ71+AJ105+AJ120+AJ131-AJ17</f>
        <v>0</v>
      </c>
      <c r="AK137" s="65">
        <f>+AK71+AK105+AK120+AK131-AK17</f>
        <v>0</v>
      </c>
      <c r="AL137" s="66"/>
      <c r="AM137" s="65">
        <f>+AM71+AM105+AM120+AM131-AM17</f>
        <v>2.9558577807620168E-12</v>
      </c>
      <c r="AN137" s="65">
        <f>+AN71+AN105+AN120+AN131-AN17</f>
        <v>0</v>
      </c>
      <c r="AO137" s="121">
        <f>+AO71+AO105+AO120+AO131-AO17</f>
        <v>0</v>
      </c>
      <c r="AP137" s="65">
        <f>+AP71+AP105+AP120+AP131-AP17</f>
        <v>2.9558577807620168E-12</v>
      </c>
      <c r="AQ137" s="66"/>
      <c r="AR137" s="65">
        <f>+AR71+AR105+AR120+AR131-AR17</f>
        <v>0</v>
      </c>
      <c r="AS137" s="65">
        <f>+AS71+AS105+AS120+AS131-AS17</f>
        <v>0</v>
      </c>
      <c r="AT137" s="121">
        <f>+AT71+AT105+AT120+AT131-AT17</f>
        <v>0</v>
      </c>
      <c r="AU137" s="65">
        <f>+AU71+AU105+AU120+AU131-AU17</f>
        <v>0</v>
      </c>
      <c r="AV137" s="66"/>
    </row>
    <row r="138" spans="2:48" ht="15" customHeight="1" x14ac:dyDescent="0.45">
      <c r="B138" s="433" t="s">
        <v>9</v>
      </c>
      <c r="C138" s="434"/>
      <c r="D138" s="14" t="s">
        <v>19</v>
      </c>
      <c r="E138" s="14" t="s">
        <v>81</v>
      </c>
      <c r="F138" s="14" t="s">
        <v>85</v>
      </c>
      <c r="G138" s="14" t="s">
        <v>95</v>
      </c>
      <c r="H138" s="40" t="s">
        <v>96</v>
      </c>
      <c r="I138" s="14" t="s">
        <v>97</v>
      </c>
      <c r="J138" s="14" t="s">
        <v>98</v>
      </c>
      <c r="K138" s="14" t="s">
        <v>99</v>
      </c>
      <c r="L138" s="14" t="s">
        <v>142</v>
      </c>
      <c r="M138" s="40" t="s">
        <v>143</v>
      </c>
      <c r="N138" s="14" t="s">
        <v>149</v>
      </c>
      <c r="O138" s="14" t="s">
        <v>157</v>
      </c>
      <c r="P138" s="14" t="s">
        <v>159</v>
      </c>
      <c r="Q138" s="14" t="s">
        <v>172</v>
      </c>
      <c r="R138" s="40" t="s">
        <v>173</v>
      </c>
      <c r="S138" s="14" t="s">
        <v>188</v>
      </c>
      <c r="T138" s="14" t="s">
        <v>189</v>
      </c>
      <c r="U138" s="14" t="s">
        <v>204</v>
      </c>
      <c r="V138" s="12" t="s">
        <v>25</v>
      </c>
      <c r="W138" s="42" t="s">
        <v>26</v>
      </c>
      <c r="X138" s="12" t="s">
        <v>27</v>
      </c>
      <c r="Y138" s="12" t="s">
        <v>28</v>
      </c>
      <c r="Z138" s="12" t="s">
        <v>29</v>
      </c>
      <c r="AA138" s="12" t="s">
        <v>30</v>
      </c>
      <c r="AB138" s="42" t="s">
        <v>31</v>
      </c>
      <c r="AC138" s="12" t="s">
        <v>90</v>
      </c>
      <c r="AD138" s="12" t="s">
        <v>91</v>
      </c>
      <c r="AE138" s="12" t="s">
        <v>92</v>
      </c>
      <c r="AF138" s="12" t="s">
        <v>93</v>
      </c>
      <c r="AG138" s="42" t="s">
        <v>94</v>
      </c>
      <c r="AH138" s="12" t="s">
        <v>109</v>
      </c>
      <c r="AI138" s="12" t="s">
        <v>110</v>
      </c>
      <c r="AJ138" s="12" t="s">
        <v>111</v>
      </c>
      <c r="AK138" s="12" t="s">
        <v>112</v>
      </c>
      <c r="AL138" s="42" t="s">
        <v>113</v>
      </c>
      <c r="AM138" s="12" t="s">
        <v>164</v>
      </c>
      <c r="AN138" s="12" t="s">
        <v>165</v>
      </c>
      <c r="AO138" s="12" t="s">
        <v>166</v>
      </c>
      <c r="AP138" s="12" t="s">
        <v>167</v>
      </c>
      <c r="AQ138" s="42" t="s">
        <v>168</v>
      </c>
      <c r="AR138" s="12" t="s">
        <v>195</v>
      </c>
      <c r="AS138" s="12" t="s">
        <v>196</v>
      </c>
      <c r="AT138" s="12" t="s">
        <v>197</v>
      </c>
      <c r="AU138" s="12" t="s">
        <v>198</v>
      </c>
      <c r="AV138" s="42" t="s">
        <v>199</v>
      </c>
    </row>
    <row r="139" spans="2:48" s="23" customFormat="1" outlineLevel="1" x14ac:dyDescent="0.3">
      <c r="B139" s="200" t="s">
        <v>169</v>
      </c>
      <c r="C139" s="201"/>
      <c r="D139" s="27"/>
      <c r="E139" s="27"/>
      <c r="F139" s="27"/>
      <c r="G139" s="27"/>
      <c r="H139" s="29"/>
      <c r="I139" s="27"/>
      <c r="J139" s="27"/>
      <c r="K139" s="27"/>
      <c r="L139" s="113"/>
      <c r="M139" s="137"/>
      <c r="N139" s="113"/>
      <c r="O139" s="113"/>
      <c r="P139" s="113"/>
      <c r="Q139" s="113"/>
      <c r="R139" s="29"/>
      <c r="S139" s="113"/>
      <c r="T139" s="113"/>
      <c r="U139" s="113"/>
      <c r="V139" s="113"/>
      <c r="W139" s="137"/>
      <c r="X139" s="113"/>
      <c r="Y139" s="113"/>
      <c r="Z139" s="113"/>
      <c r="AA139" s="113"/>
      <c r="AB139" s="137">
        <f>(AB91+AB58)/(W83+W74+W50+W41)</f>
        <v>6.9998872350022556E-2</v>
      </c>
      <c r="AC139" s="113"/>
      <c r="AD139" s="113"/>
      <c r="AE139" s="113"/>
      <c r="AF139" s="113"/>
      <c r="AG139" s="137">
        <f>(AG91+AG58)/(AB83+AB74+AB50+AB41)</f>
        <v>7.0003952048478466E-2</v>
      </c>
      <c r="AH139" s="113"/>
      <c r="AI139" s="113"/>
      <c r="AJ139" s="113"/>
      <c r="AK139" s="113"/>
      <c r="AL139" s="406">
        <f>(AL91+AL58)/(AG83+AG74+AG50+AG41)</f>
        <v>7.0003939722249581E-2</v>
      </c>
      <c r="AM139" s="113"/>
      <c r="AN139" s="113"/>
      <c r="AO139" s="113"/>
      <c r="AP139" s="113"/>
      <c r="AQ139" s="137">
        <f>(AQ91+AQ58)/(AL83+AL74+AL50+AL41)</f>
        <v>2.9271660338280981E-2</v>
      </c>
      <c r="AR139" s="113"/>
      <c r="AS139" s="113"/>
      <c r="AT139" s="113"/>
      <c r="AU139" s="113"/>
      <c r="AV139" s="137">
        <f>(AV91+AV58)/(AQ83+AQ74+AQ50+AQ41)</f>
        <v>2.8439197799986587E-2</v>
      </c>
    </row>
    <row r="140" spans="2:48" s="23" customFormat="1" outlineLevel="1" x14ac:dyDescent="0.3">
      <c r="B140" s="435" t="s">
        <v>17</v>
      </c>
      <c r="C140" s="436"/>
      <c r="D140" s="30"/>
      <c r="E140" s="30"/>
      <c r="F140" s="30"/>
      <c r="G140" s="30"/>
      <c r="H140" s="137"/>
      <c r="I140" s="30">
        <f t="shared" ref="I140:AV140" si="603">I8/D8-1</f>
        <v>7.0016735266180907E-2</v>
      </c>
      <c r="J140" s="30">
        <f t="shared" si="603"/>
        <v>-4.9192026514851106E-2</v>
      </c>
      <c r="K140" s="30">
        <f t="shared" si="603"/>
        <v>-0.38119595485856661</v>
      </c>
      <c r="L140" s="113">
        <f t="shared" si="603"/>
        <v>-8.061360604713208E-2</v>
      </c>
      <c r="M140" s="128">
        <f t="shared" si="603"/>
        <v>-0.11281621813298315</v>
      </c>
      <c r="N140" s="30">
        <f t="shared" si="603"/>
        <v>-4.8991841738174613E-2</v>
      </c>
      <c r="O140" s="30">
        <f t="shared" si="603"/>
        <v>0.11213036009139876</v>
      </c>
      <c r="P140" s="30">
        <f t="shared" si="603"/>
        <v>0.77553823926482068</v>
      </c>
      <c r="Q140" s="30">
        <f t="shared" si="603"/>
        <v>0.31332720736405983</v>
      </c>
      <c r="R140" s="128">
        <f t="shared" si="603"/>
        <v>0.23567480227910509</v>
      </c>
      <c r="S140" s="30">
        <f t="shared" si="603"/>
        <v>0.19275787477405393</v>
      </c>
      <c r="T140" s="30">
        <f t="shared" si="603"/>
        <v>0.14511097780443905</v>
      </c>
      <c r="U140" s="30">
        <f t="shared" si="603"/>
        <v>8.7187354098579473E-2</v>
      </c>
      <c r="V140" s="30">
        <f t="shared" si="603"/>
        <v>1.7311112342031532E-2</v>
      </c>
      <c r="W140" s="28">
        <f t="shared" si="603"/>
        <v>0.10540829986018285</v>
      </c>
      <c r="X140" s="30">
        <f t="shared" si="603"/>
        <v>7.6754201778171938E-2</v>
      </c>
      <c r="Y140" s="30">
        <f t="shared" si="603"/>
        <v>9.9189810156881997E-2</v>
      </c>
      <c r="Z140" s="30">
        <f t="shared" si="603"/>
        <v>0.12769268581558646</v>
      </c>
      <c r="AA140" s="30">
        <f t="shared" si="603"/>
        <v>0.13409328144002286</v>
      </c>
      <c r="AB140" s="137">
        <f t="shared" si="603"/>
        <v>0.10980361845288167</v>
      </c>
      <c r="AC140" s="30">
        <f t="shared" si="603"/>
        <v>0.1232033628528193</v>
      </c>
      <c r="AD140" s="30">
        <f t="shared" si="603"/>
        <v>9.6779586167275777E-2</v>
      </c>
      <c r="AE140" s="30">
        <f t="shared" si="603"/>
        <v>9.7725809081055992E-2</v>
      </c>
      <c r="AF140" s="30">
        <f t="shared" si="603"/>
        <v>0.10107467513140889</v>
      </c>
      <c r="AG140" s="137">
        <f t="shared" si="603"/>
        <v>0.10458061605690805</v>
      </c>
      <c r="AH140" s="30">
        <f t="shared" si="603"/>
        <v>0.11523267400076009</v>
      </c>
      <c r="AI140" s="30">
        <f t="shared" si="603"/>
        <v>0.1143824870888952</v>
      </c>
      <c r="AJ140" s="30">
        <f t="shared" si="603"/>
        <v>0.11509230734132658</v>
      </c>
      <c r="AK140" s="30">
        <f t="shared" si="603"/>
        <v>0.11745003229436946</v>
      </c>
      <c r="AL140" s="406">
        <f t="shared" si="603"/>
        <v>0.11558070350478378</v>
      </c>
      <c r="AM140" s="30">
        <f t="shared" si="603"/>
        <v>0.10010830769738077</v>
      </c>
      <c r="AN140" s="30">
        <f t="shared" si="603"/>
        <v>9.4535712744858724E-2</v>
      </c>
      <c r="AO140" s="30">
        <f t="shared" si="603"/>
        <v>9.0539328856082291E-2</v>
      </c>
      <c r="AP140" s="30">
        <f t="shared" si="603"/>
        <v>8.7270188651159986E-2</v>
      </c>
      <c r="AQ140" s="28">
        <f t="shared" si="603"/>
        <v>9.2977040108612963E-2</v>
      </c>
      <c r="AR140" s="30">
        <f t="shared" si="603"/>
        <v>6.504221511172692E-2</v>
      </c>
      <c r="AS140" s="30">
        <f t="shared" si="603"/>
        <v>6.4273236399094102E-2</v>
      </c>
      <c r="AT140" s="30">
        <f t="shared" si="603"/>
        <v>6.4051834273006314E-2</v>
      </c>
      <c r="AU140" s="30">
        <f t="shared" si="603"/>
        <v>6.4350905639830147E-2</v>
      </c>
      <c r="AV140" s="28">
        <f t="shared" si="603"/>
        <v>6.4428308255169764E-2</v>
      </c>
    </row>
    <row r="141" spans="2:48" s="23" customFormat="1" outlineLevel="1" x14ac:dyDescent="0.3">
      <c r="B141" s="435" t="s">
        <v>4</v>
      </c>
      <c r="C141" s="436"/>
      <c r="D141" s="27">
        <f t="shared" ref="D141:AV141" si="604">D17/D8</f>
        <v>0.15313522396610738</v>
      </c>
      <c r="E141" s="27">
        <f t="shared" si="604"/>
        <v>0.13601547756862614</v>
      </c>
      <c r="F141" s="27">
        <f t="shared" si="604"/>
        <v>0.16434119888612064</v>
      </c>
      <c r="G141" s="27">
        <f t="shared" si="604"/>
        <v>0.16054542759745088</v>
      </c>
      <c r="H141" s="29">
        <f t="shared" si="604"/>
        <v>0.15383309567461143</v>
      </c>
      <c r="I141" s="27">
        <f t="shared" si="604"/>
        <v>0.1718730185568752</v>
      </c>
      <c r="J141" s="27">
        <f t="shared" si="604"/>
        <v>8.1291592307820446E-2</v>
      </c>
      <c r="K141" s="27">
        <f t="shared" si="604"/>
        <v>-0.16671798394164022</v>
      </c>
      <c r="L141" s="113">
        <f t="shared" si="604"/>
        <v>9.0003385404072211E-2</v>
      </c>
      <c r="M141" s="137">
        <f t="shared" si="604"/>
        <v>6.6400204098988183E-2</v>
      </c>
      <c r="N141" s="27">
        <f t="shared" si="604"/>
        <v>0.13534536403235845</v>
      </c>
      <c r="O141" s="27">
        <f t="shared" si="604"/>
        <v>0.14811037792441512</v>
      </c>
      <c r="P141" s="27">
        <f t="shared" si="604"/>
        <v>0.19858600680317468</v>
      </c>
      <c r="Q141" s="27">
        <f t="shared" si="604"/>
        <v>0.18193869910515911</v>
      </c>
      <c r="R141" s="137">
        <f t="shared" si="604"/>
        <v>0.16764966999993108</v>
      </c>
      <c r="S141" s="27">
        <f t="shared" si="604"/>
        <v>0.14630328927755143</v>
      </c>
      <c r="T141" s="27">
        <f t="shared" si="604"/>
        <v>0.12427314159987431</v>
      </c>
      <c r="U141" s="27">
        <f t="shared" si="604"/>
        <v>0.15895510484533926</v>
      </c>
      <c r="V141" s="27">
        <f t="shared" si="604"/>
        <v>0.13355692927238058</v>
      </c>
      <c r="W141" s="137">
        <f t="shared" si="604"/>
        <v>0.14098828754353226</v>
      </c>
      <c r="X141" s="27">
        <f t="shared" si="604"/>
        <v>0.13347713167777689</v>
      </c>
      <c r="Y141" s="27">
        <f t="shared" si="604"/>
        <v>0.13194556206335736</v>
      </c>
      <c r="Z141" s="27">
        <f t="shared" si="604"/>
        <v>0.15421637128277246</v>
      </c>
      <c r="AA141" s="27">
        <f t="shared" si="604"/>
        <v>0.16270303962190427</v>
      </c>
      <c r="AB141" s="137">
        <f t="shared" si="604"/>
        <v>0.14616822415377001</v>
      </c>
      <c r="AC141" s="27">
        <f t="shared" si="604"/>
        <v>0.16046384030410779</v>
      </c>
      <c r="AD141" s="27">
        <f t="shared" si="604"/>
        <v>0.14098318044584443</v>
      </c>
      <c r="AE141" s="27">
        <f t="shared" si="604"/>
        <v>0.15863330030149353</v>
      </c>
      <c r="AF141" s="27">
        <f t="shared" si="604"/>
        <v>0.15296267175965017</v>
      </c>
      <c r="AG141" s="137">
        <f t="shared" si="604"/>
        <v>0.15346979150745824</v>
      </c>
      <c r="AH141" s="27">
        <f t="shared" si="604"/>
        <v>0.16765881222138554</v>
      </c>
      <c r="AI141" s="27">
        <f t="shared" si="604"/>
        <v>0.14900308003670257</v>
      </c>
      <c r="AJ141" s="27">
        <f t="shared" si="604"/>
        <v>0.17256969523975174</v>
      </c>
      <c r="AK141" s="27">
        <f t="shared" si="604"/>
        <v>0.16116962845255084</v>
      </c>
      <c r="AL141" s="29">
        <f t="shared" si="604"/>
        <v>0.16285196702347426</v>
      </c>
      <c r="AM141" s="27">
        <f t="shared" si="604"/>
        <v>0.17071333009376852</v>
      </c>
      <c r="AN141" s="27">
        <f t="shared" si="604"/>
        <v>0.15195721773693538</v>
      </c>
      <c r="AO141" s="27">
        <f t="shared" si="604"/>
        <v>0.17407476321897988</v>
      </c>
      <c r="AP141" s="27">
        <f t="shared" si="604"/>
        <v>0.16233048423636245</v>
      </c>
      <c r="AQ141" s="29">
        <f t="shared" si="604"/>
        <v>0.16499111511374623</v>
      </c>
      <c r="AR141" s="27">
        <f t="shared" si="604"/>
        <v>0.17041518507947218</v>
      </c>
      <c r="AS141" s="27">
        <f t="shared" si="604"/>
        <v>0.15172011306933661</v>
      </c>
      <c r="AT141" s="27">
        <f t="shared" si="604"/>
        <v>0.1737132605018861</v>
      </c>
      <c r="AU141" s="27">
        <f t="shared" si="604"/>
        <v>0.16213343250470003</v>
      </c>
      <c r="AV141" s="29">
        <f t="shared" si="604"/>
        <v>0.16471802455176912</v>
      </c>
    </row>
    <row r="142" spans="2:48" s="23" customFormat="1" outlineLevel="1" x14ac:dyDescent="0.3">
      <c r="B142" s="435" t="s">
        <v>77</v>
      </c>
      <c r="C142" s="436"/>
      <c r="D142" s="27">
        <f t="shared" ref="D142:AV142" si="605">+D19/D8</f>
        <v>0.17394123056975294</v>
      </c>
      <c r="E142" s="27">
        <f t="shared" si="605"/>
        <v>0.15843892227913536</v>
      </c>
      <c r="F142" s="27">
        <f t="shared" si="605"/>
        <v>0.18270555474131628</v>
      </c>
      <c r="G142" s="27">
        <f t="shared" si="605"/>
        <v>0.17201719282644154</v>
      </c>
      <c r="H142" s="29">
        <f t="shared" si="605"/>
        <v>0.17201964645435841</v>
      </c>
      <c r="I142" s="27">
        <f t="shared" si="605"/>
        <v>0.1819616463062376</v>
      </c>
      <c r="J142" s="27">
        <f t="shared" si="605"/>
        <v>9.2432910252347358E-2</v>
      </c>
      <c r="K142" s="27">
        <f t="shared" si="605"/>
        <v>-0.12558205632268285</v>
      </c>
      <c r="L142" s="113">
        <f t="shared" si="605"/>
        <v>0.13183730715287523</v>
      </c>
      <c r="M142" s="137">
        <f t="shared" si="605"/>
        <v>9.0704141508631861E-2</v>
      </c>
      <c r="N142" s="27">
        <f t="shared" si="605"/>
        <v>0.15533232583637069</v>
      </c>
      <c r="O142" s="27">
        <f t="shared" si="605"/>
        <v>0.1613377324535093</v>
      </c>
      <c r="P142" s="27">
        <f t="shared" si="605"/>
        <v>0.20548255852731262</v>
      </c>
      <c r="Q142" s="27">
        <f t="shared" si="605"/>
        <v>0.19607939411049871</v>
      </c>
      <c r="R142" s="137">
        <f t="shared" si="605"/>
        <v>0.18106990220435909</v>
      </c>
      <c r="S142" s="27">
        <f t="shared" si="605"/>
        <v>0.15067574282023255</v>
      </c>
      <c r="T142" s="27">
        <f t="shared" si="605"/>
        <v>0.13049400178113052</v>
      </c>
      <c r="U142" s="27">
        <f t="shared" si="605"/>
        <v>0.16846419062342788</v>
      </c>
      <c r="V142" s="421">
        <f t="shared" si="605"/>
        <v>0.1473122062267615</v>
      </c>
      <c r="W142" s="137">
        <f t="shared" si="605"/>
        <v>0.14952400739153818</v>
      </c>
      <c r="X142" s="27">
        <f t="shared" si="605"/>
        <v>0.14662849623084973</v>
      </c>
      <c r="Y142" s="27">
        <f t="shared" si="605"/>
        <v>0.13957098806581647</v>
      </c>
      <c r="Z142" s="27">
        <f t="shared" si="605"/>
        <v>0.16117985032565263</v>
      </c>
      <c r="AA142" s="27">
        <f t="shared" si="605"/>
        <v>0.16951223325059214</v>
      </c>
      <c r="AB142" s="137">
        <f t="shared" si="605"/>
        <v>0.15475139964473331</v>
      </c>
      <c r="AC142" s="27">
        <f t="shared" si="605"/>
        <v>0.16703720221648782</v>
      </c>
      <c r="AD142" s="27">
        <f t="shared" si="605"/>
        <v>0.1479357405578596</v>
      </c>
      <c r="AE142" s="27">
        <f t="shared" si="605"/>
        <v>0.16497685074485019</v>
      </c>
      <c r="AF142" s="27">
        <f t="shared" si="605"/>
        <v>0.15914680602636122</v>
      </c>
      <c r="AG142" s="137">
        <f t="shared" si="605"/>
        <v>0.15997062606058532</v>
      </c>
      <c r="AH142" s="27">
        <f t="shared" si="605"/>
        <v>0.1735529740995512</v>
      </c>
      <c r="AI142" s="27">
        <f t="shared" si="605"/>
        <v>0.15524201522508424</v>
      </c>
      <c r="AJ142" s="27">
        <f t="shared" si="605"/>
        <v>0.17825850718975195</v>
      </c>
      <c r="AK142" s="27">
        <f t="shared" si="605"/>
        <v>0.16670377681533147</v>
      </c>
      <c r="AL142" s="406">
        <f t="shared" si="605"/>
        <v>0.16867927699101279</v>
      </c>
      <c r="AM142" s="27">
        <f t="shared" si="605"/>
        <v>0.17607113153652154</v>
      </c>
      <c r="AN142" s="27">
        <f t="shared" si="605"/>
        <v>0.15765729231260706</v>
      </c>
      <c r="AO142" s="27">
        <f t="shared" si="605"/>
        <v>0.17929127563579245</v>
      </c>
      <c r="AP142" s="27">
        <f t="shared" si="605"/>
        <v>0.16742043190580616</v>
      </c>
      <c r="AQ142" s="29">
        <f t="shared" si="605"/>
        <v>0.17032270924033413</v>
      </c>
      <c r="AR142" s="27">
        <f t="shared" si="605"/>
        <v>0.17544578515027875</v>
      </c>
      <c r="AS142" s="27">
        <f t="shared" si="605"/>
        <v>0.15707595063127469</v>
      </c>
      <c r="AT142" s="27">
        <f t="shared" si="605"/>
        <v>0.17861575890355152</v>
      </c>
      <c r="AU142" s="27">
        <f t="shared" si="605"/>
        <v>0.16691564074304782</v>
      </c>
      <c r="AV142" s="29">
        <f t="shared" si="605"/>
        <v>0.16972690498574364</v>
      </c>
    </row>
    <row r="143" spans="2:48" s="23" customFormat="1" outlineLevel="1" x14ac:dyDescent="0.3">
      <c r="B143" s="435" t="s">
        <v>2</v>
      </c>
      <c r="C143" s="436"/>
      <c r="D143" s="27">
        <f t="shared" ref="D143:K143" si="606">D24/D23</f>
        <v>0.2124287933713101</v>
      </c>
      <c r="E143" s="27">
        <f t="shared" si="606"/>
        <v>0.1965853658536586</v>
      </c>
      <c r="F143" s="27">
        <f t="shared" si="606"/>
        <v>0.18110799689903978</v>
      </c>
      <c r="G143" s="118">
        <f t="shared" si="606"/>
        <v>0.20083682008368189</v>
      </c>
      <c r="H143" s="137">
        <f t="shared" si="606"/>
        <v>0.19515471765706843</v>
      </c>
      <c r="I143" s="118">
        <f t="shared" si="606"/>
        <v>0.22600104913446431</v>
      </c>
      <c r="J143" s="118">
        <f t="shared" si="606"/>
        <v>0.16760635571501836</v>
      </c>
      <c r="K143" s="118">
        <f t="shared" si="606"/>
        <v>0.16490147783251249</v>
      </c>
      <c r="L143" s="118">
        <v>0.25</v>
      </c>
      <c r="M143" s="137">
        <f t="shared" ref="M143:U143" si="607">M24/M23</f>
        <v>0.20585709378220463</v>
      </c>
      <c r="N143" s="118">
        <f t="shared" si="607"/>
        <v>0.23023629840405785</v>
      </c>
      <c r="O143" s="118">
        <f t="shared" si="607"/>
        <v>0.25901786717608721</v>
      </c>
      <c r="P143" s="118">
        <f t="shared" si="607"/>
        <v>0.18217246510309659</v>
      </c>
      <c r="Q143" s="118">
        <f t="shared" si="607"/>
        <v>0.21489588894821143</v>
      </c>
      <c r="R143" s="137">
        <f t="shared" si="607"/>
        <v>0.21591906068581893</v>
      </c>
      <c r="S143" s="118">
        <f t="shared" si="607"/>
        <v>0.23183358433734938</v>
      </c>
      <c r="T143" s="118">
        <f t="shared" si="607"/>
        <v>0.22954000684853323</v>
      </c>
      <c r="U143" s="118">
        <f t="shared" si="607"/>
        <v>0.23360174467371256</v>
      </c>
      <c r="V143" s="35">
        <v>0.24</v>
      </c>
      <c r="W143" s="137">
        <f>W24/W23</f>
        <v>0.23384710457777375</v>
      </c>
      <c r="X143" s="35">
        <v>0.245</v>
      </c>
      <c r="Y143" s="35">
        <v>0.245</v>
      </c>
      <c r="Z143" s="35">
        <v>0.245</v>
      </c>
      <c r="AA143" s="35">
        <v>0.245</v>
      </c>
      <c r="AB143" s="137">
        <f>AB24/AB23</f>
        <v>0.24499999999999991</v>
      </c>
      <c r="AC143" s="34">
        <f>AVERAGE(X143,Y143,Z143,AA143)</f>
        <v>0.245</v>
      </c>
      <c r="AD143" s="34">
        <f>AVERAGE(Y143,Z143,AA143,AC143)</f>
        <v>0.245</v>
      </c>
      <c r="AE143" s="34">
        <f>AVERAGE(Z143,AA143,AC143,AD143)</f>
        <v>0.245</v>
      </c>
      <c r="AF143" s="34">
        <f>AVERAGE(AA143,AC143,AD143,AE143)</f>
        <v>0.245</v>
      </c>
      <c r="AG143" s="29">
        <f>AG24/AG23</f>
        <v>0.24499999999999988</v>
      </c>
      <c r="AH143" s="34">
        <f>AVERAGE(AC143,AD143,AE143,AF143)</f>
        <v>0.245</v>
      </c>
      <c r="AI143" s="34">
        <f>AVERAGE(AD143,AE143,AF143,AH143)</f>
        <v>0.245</v>
      </c>
      <c r="AJ143" s="34">
        <f>AVERAGE(AE143,AF143,AH143,AI143)</f>
        <v>0.245</v>
      </c>
      <c r="AK143" s="34">
        <f>AVERAGE(AF143,AH143,AI143,AJ143)</f>
        <v>0.245</v>
      </c>
      <c r="AL143" s="29">
        <f>AL24/AL23</f>
        <v>0.24500000000000008</v>
      </c>
      <c r="AM143" s="34">
        <f>AVERAGE(AH143,AI143,AJ143,AK143)</f>
        <v>0.245</v>
      </c>
      <c r="AN143" s="34">
        <f>AVERAGE(AI143,AJ143,AK143,AM143)</f>
        <v>0.245</v>
      </c>
      <c r="AO143" s="34">
        <f>AVERAGE(AJ143,AK143,AM143,AN143)</f>
        <v>0.245</v>
      </c>
      <c r="AP143" s="34">
        <f>AVERAGE(AK143,AM143,AN143,AO143)</f>
        <v>0.245</v>
      </c>
      <c r="AQ143" s="29">
        <f>AQ24/AQ23</f>
        <v>0.24499999999999991</v>
      </c>
      <c r="AR143" s="34">
        <f>AVERAGE(AM143,AN143,AO143,AP143)</f>
        <v>0.245</v>
      </c>
      <c r="AS143" s="34">
        <f>AVERAGE(AN143,AO143,AP143,AR143)</f>
        <v>0.245</v>
      </c>
      <c r="AT143" s="34">
        <f>AVERAGE(AO143,AP143,AR143,AS143)</f>
        <v>0.245</v>
      </c>
      <c r="AU143" s="34">
        <f>AVERAGE(AP143,AR143,AS143,AT143)</f>
        <v>0.245</v>
      </c>
      <c r="AV143" s="29">
        <f>AV24/AV23</f>
        <v>0.24499999999999958</v>
      </c>
    </row>
    <row r="144" spans="2:48" s="23" customFormat="1" outlineLevel="1" x14ac:dyDescent="0.3">
      <c r="B144" s="435" t="s">
        <v>78</v>
      </c>
      <c r="C144" s="436"/>
      <c r="D144" s="27"/>
      <c r="E144" s="27">
        <f>+E21/(('BS (Base-Case)'!E6+'BS (Base-Case)'!E7+'BS (Base-Case)'!E12)+('BS (Base-Case)'!D6+'BS (Base-Case)'!D7+'BS (Base-Case)'!D12)/2)</f>
        <v>3.0327214684756584E-3</v>
      </c>
      <c r="F144" s="27">
        <f>+F21/(('BS (Base-Case)'!F6+'BS (Base-Case)'!F7+'BS (Base-Case)'!F12)+('BS (Base-Case)'!E6+'BS (Base-Case)'!E7+'BS (Base-Case)'!E12)/2)</f>
        <v>6.4321029136466161E-3</v>
      </c>
      <c r="G144" s="27">
        <f>+G21/(('BS (Base-Case)'!G6+'BS (Base-Case)'!G7+'BS (Base-Case)'!G12)+('BS (Base-Case)'!F6+'BS (Base-Case)'!F7+'BS (Base-Case)'!F12)/2)</f>
        <v>2.9603261807251862E-3</v>
      </c>
      <c r="H144" s="29"/>
      <c r="I144" s="27">
        <f>+I21/(('BS (Base-Case)'!I6+'BS (Base-Case)'!I7+'BS (Base-Case)'!I12)+('BS (Base-Case)'!G6+'BS (Base-Case)'!G7+'BS (Base-Case)'!G12)/2)</f>
        <v>3.3143988743550958E-3</v>
      </c>
      <c r="J144" s="27">
        <f>+J21/(('BS (Base-Case)'!J6+'BS (Base-Case)'!J7+'BS (Base-Case)'!J12)+('BS (Base-Case)'!I6+'BS (Base-Case)'!I7+'BS (Base-Case)'!I12)/2)</f>
        <v>4.4659305324505627E-4</v>
      </c>
      <c r="K144" s="27">
        <f>+K21/(('BS (Base-Case)'!K6+'BS (Base-Case)'!K7+'BS (Base-Case)'!K12)+('BS (Base-Case)'!J6+'BS (Base-Case)'!J7+'BS (Base-Case)'!J12)/2)</f>
        <v>2.1779393606804753E-3</v>
      </c>
      <c r="L144" s="27">
        <f>+L21/(('BS (Base-Case)'!L6+'BS (Base-Case)'!L7+'BS (Base-Case)'!L12)+('BS (Base-Case)'!K6+'BS (Base-Case)'!K7+'BS (Base-Case)'!K12)/2)</f>
        <v>1.2911830642186198E-3</v>
      </c>
      <c r="M144" s="29"/>
      <c r="N144" s="27">
        <f>+N21/(('BS (Base-Case)'!N6+'BS (Base-Case)'!N7+'BS (Base-Case)'!N12)+('BS (Base-Case)'!L6+'BS (Base-Case)'!L7+'BS (Base-Case)'!L12)/2)</f>
        <v>1.9686289451959073E-3</v>
      </c>
      <c r="O144" s="27">
        <f>+O21/(('BS (Base-Case)'!O6+'BS (Base-Case)'!O7+'BS (Base-Case)'!O12)+('BS (Base-Case)'!N6+'BS (Base-Case)'!N7+'BS (Base-Case)'!N12)/2)</f>
        <v>2.465933063458573E-3</v>
      </c>
      <c r="P144" s="27">
        <f>+P21/(('BS (Base-Case)'!P6+'BS (Base-Case)'!P7+'BS (Base-Case)'!P12)+('BS (Base-Case)'!O6+'BS (Base-Case)'!O7+'BS (Base-Case)'!O12)/2)</f>
        <v>4.9067713444553383E-3</v>
      </c>
      <c r="Q144" s="27">
        <f>+Q21/(('BS (Base-Case)'!Q6+'BS (Base-Case)'!Q7+'BS (Base-Case)'!Q12)+('BS (Base-Case)'!P6+'BS (Base-Case)'!P7+'BS (Base-Case)'!P12)/2)</f>
        <v>2.2641350477574504E-3</v>
      </c>
      <c r="R144" s="137"/>
      <c r="S144" s="27">
        <f>+S21/(('BS (Base-Case)'!S6+'BS (Base-Case)'!S7+'BS (Base-Case)'!S12)+('BS (Base-Case)'!Q6+'BS (Base-Case)'!Q7+'BS (Base-Case)'!Q12)/2)</f>
        <v>-1.2810330250313835E-5</v>
      </c>
      <c r="T144" s="27">
        <f>+T21/(('BS (Base-Case)'!T6+'BS (Base-Case)'!T7+'BS (Base-Case)'!T12)+('BS (Base-Case)'!S6+'BS (Base-Case)'!S7+'BS (Base-Case)'!S12)/2)</f>
        <v>7.1679593764030023E-3</v>
      </c>
      <c r="U144" s="27">
        <f>+U21/(('BS (Base-Case)'!U6+'BS (Base-Case)'!U7+'BS (Base-Case)'!U12)+('BS (Base-Case)'!T6+'BS (Base-Case)'!T7+'BS (Base-Case)'!T12)/2)</f>
        <v>3.4813492865871276E-3</v>
      </c>
      <c r="V144" s="35">
        <f>U144+0.25%</f>
        <v>5.9813492865871277E-3</v>
      </c>
      <c r="W144" s="137"/>
      <c r="X144" s="35">
        <f>V144+0.25%</f>
        <v>8.4813492865871282E-3</v>
      </c>
      <c r="Y144" s="35">
        <f>X144+0.5%</f>
        <v>1.3481349286587129E-2</v>
      </c>
      <c r="Z144" s="35">
        <f>Y144</f>
        <v>1.3481349286587129E-2</v>
      </c>
      <c r="AA144" s="35">
        <f>Z144-0.5%</f>
        <v>8.4813492865871282E-3</v>
      </c>
      <c r="AB144" s="137"/>
      <c r="AC144" s="35">
        <f>AA144</f>
        <v>8.4813492865871282E-3</v>
      </c>
      <c r="AD144" s="35">
        <f>AC144</f>
        <v>8.4813492865871282E-3</v>
      </c>
      <c r="AE144" s="35">
        <f>AD144</f>
        <v>8.4813492865871282E-3</v>
      </c>
      <c r="AF144" s="35">
        <f>AE144</f>
        <v>8.4813492865871282E-3</v>
      </c>
      <c r="AG144" s="29"/>
      <c r="AH144" s="35">
        <f>AF144</f>
        <v>8.4813492865871282E-3</v>
      </c>
      <c r="AI144" s="35">
        <f>AH144</f>
        <v>8.4813492865871282E-3</v>
      </c>
      <c r="AJ144" s="35">
        <f>AI144</f>
        <v>8.4813492865871282E-3</v>
      </c>
      <c r="AK144" s="35">
        <f>AJ144</f>
        <v>8.4813492865871282E-3</v>
      </c>
      <c r="AL144" s="29"/>
      <c r="AM144" s="35">
        <f>AK144</f>
        <v>8.4813492865871282E-3</v>
      </c>
      <c r="AN144" s="35">
        <f t="shared" ref="AN144:AP145" si="608">AM144</f>
        <v>8.4813492865871282E-3</v>
      </c>
      <c r="AO144" s="35">
        <f t="shared" si="608"/>
        <v>8.4813492865871282E-3</v>
      </c>
      <c r="AP144" s="35">
        <f t="shared" si="608"/>
        <v>8.4813492865871282E-3</v>
      </c>
      <c r="AQ144" s="29"/>
      <c r="AR144" s="35">
        <f>AP144</f>
        <v>8.4813492865871282E-3</v>
      </c>
      <c r="AS144" s="35">
        <f t="shared" ref="AS144:AU145" si="609">AR144</f>
        <v>8.4813492865871282E-3</v>
      </c>
      <c r="AT144" s="35">
        <f t="shared" si="609"/>
        <v>8.4813492865871282E-3</v>
      </c>
      <c r="AU144" s="35">
        <f t="shared" si="609"/>
        <v>8.4813492865871282E-3</v>
      </c>
      <c r="AV144" s="29"/>
    </row>
    <row r="145" spans="2:48" s="23" customFormat="1" outlineLevel="1" x14ac:dyDescent="0.3">
      <c r="B145" s="435" t="s">
        <v>79</v>
      </c>
      <c r="C145" s="436"/>
      <c r="D145" s="27"/>
      <c r="E145" s="215">
        <f>-E22/(((('BS (Base-Case)'!E28+'BS (Base-Case)'!E31)+('BS (Base-Case)'!D28+'BS (Base-Case)'!D31))/2))</f>
        <v>8.0557251242696429E-3</v>
      </c>
      <c r="F145" s="215">
        <f>-F22/(((('BS (Base-Case)'!F28+'BS (Base-Case)'!F31)+('BS (Base-Case)'!E28+'BS (Base-Case)'!E31))/2))</f>
        <v>8.4807318557490342E-3</v>
      </c>
      <c r="G145" s="215">
        <f>-G22/(((('BS (Base-Case)'!G28+'BS (Base-Case)'!G31)+('BS (Base-Case)'!F28+'BS (Base-Case)'!F31))/2))</f>
        <v>8.572925858076421E-3</v>
      </c>
      <c r="H145" s="29"/>
      <c r="I145" s="215">
        <f>-I22/(((('BS (Base-Case)'!I28+'BS (Base-Case)'!I31)+('BS (Base-Case)'!G28+'BS (Base-Case)'!G31))/2))</f>
        <v>8.0554679008449908E-3</v>
      </c>
      <c r="J145" s="215">
        <f>-J22/(((('BS (Base-Case)'!J28+'BS (Base-Case)'!J31)+('BS (Base-Case)'!I28+'BS (Base-Case)'!I31))/2))</f>
        <v>7.730372102084551E-3</v>
      </c>
      <c r="K145" s="215">
        <f>-K22/(((('BS (Base-Case)'!K28+'BS (Base-Case)'!K31)+('BS (Base-Case)'!J28+'BS (Base-Case)'!J31))/2))</f>
        <v>7.8322294946980078E-3</v>
      </c>
      <c r="L145" s="215">
        <f>-L22/(((('BS (Base-Case)'!L28+'BS (Base-Case)'!L31)+('BS (Base-Case)'!K28+'BS (Base-Case)'!K31))/2))</f>
        <v>7.5346594333936109E-3</v>
      </c>
      <c r="M145" s="29"/>
      <c r="N145" s="215">
        <f>-N22/(((('BS (Base-Case)'!N28+'BS (Base-Case)'!N31)+('BS (Base-Case)'!L28+'BS (Base-Case)'!L31))/2))</f>
        <v>7.481930548840208E-3</v>
      </c>
      <c r="O145" s="215">
        <f>-O22/(((('BS (Base-Case)'!O28+'BS (Base-Case)'!O31)+('BS (Base-Case)'!N28+'BS (Base-Case)'!N31))/2))</f>
        <v>7.5250206938069089E-3</v>
      </c>
      <c r="P145" s="215">
        <f>-P22/(((('BS (Base-Case)'!P28+'BS (Base-Case)'!P31)+('BS (Base-Case)'!O28+'BS (Base-Case)'!O31))/2))</f>
        <v>7.7494216976973845E-3</v>
      </c>
      <c r="Q145" s="215">
        <f>-Q22/(((('BS (Base-Case)'!Q28+'BS (Base-Case)'!Q31)+('BS (Base-Case)'!P28+'BS (Base-Case)'!P31))/2))</f>
        <v>8.2506952544819535E-3</v>
      </c>
      <c r="R145" s="29"/>
      <c r="S145" s="215">
        <f>-S22/(((('BS (Base-Case)'!S28+'BS (Base-Case)'!S31)+('BS (Base-Case)'!Q28+'BS (Base-Case)'!Q31))/2))</f>
        <v>7.8431639309692741E-3</v>
      </c>
      <c r="T145" s="215">
        <f>-T22/(((('BS (Base-Case)'!T28+'BS (Base-Case)'!T31)+('BS (Base-Case)'!S28+'BS (Base-Case)'!S31))/2))</f>
        <v>7.7341177845746236E-3</v>
      </c>
      <c r="U145" s="215">
        <f>-U22/(((('BS (Base-Case)'!U28+'BS (Base-Case)'!U31)+('BS (Base-Case)'!T28+'BS (Base-Case)'!T31))/2))</f>
        <v>7.9054937080361813E-3</v>
      </c>
      <c r="V145" s="35">
        <f>U145</f>
        <v>7.9054937080361813E-3</v>
      </c>
      <c r="W145" s="137"/>
      <c r="X145" s="35">
        <f>V145+0.01%</f>
        <v>8.0054937080361807E-3</v>
      </c>
      <c r="Y145" s="35">
        <f>X145+0.01%</f>
        <v>8.1054937080361801E-3</v>
      </c>
      <c r="Z145" s="35">
        <f t="shared" ref="Z145:AA145" si="610">Y145+0.01%</f>
        <v>8.2054937080361795E-3</v>
      </c>
      <c r="AA145" s="35">
        <f t="shared" si="610"/>
        <v>8.3054937080361789E-3</v>
      </c>
      <c r="AB145" s="137"/>
      <c r="AC145" s="35">
        <f>AA145+0.01%</f>
        <v>8.4054937080361783E-3</v>
      </c>
      <c r="AD145" s="35">
        <f>AC145+0.01%</f>
        <v>8.5054937080361777E-3</v>
      </c>
      <c r="AE145" s="35">
        <f t="shared" ref="AE145:AF145" si="611">AD145+0.01%</f>
        <v>8.6054937080361771E-3</v>
      </c>
      <c r="AF145" s="35">
        <f t="shared" si="611"/>
        <v>8.7054937080361765E-3</v>
      </c>
      <c r="AG145" s="29"/>
      <c r="AH145" s="35">
        <f>AF145+0.01%</f>
        <v>8.8054937080361759E-3</v>
      </c>
      <c r="AI145" s="35">
        <f>AH145+0.01%</f>
        <v>8.9054937080361753E-3</v>
      </c>
      <c r="AJ145" s="35">
        <f t="shared" ref="AJ145:AK145" si="612">AI145+0.01%</f>
        <v>9.0054937080361747E-3</v>
      </c>
      <c r="AK145" s="35">
        <f t="shared" si="612"/>
        <v>9.1054937080361741E-3</v>
      </c>
      <c r="AL145" s="29"/>
      <c r="AM145" s="35">
        <f>AK145</f>
        <v>9.1054937080361741E-3</v>
      </c>
      <c r="AN145" s="35">
        <f t="shared" si="608"/>
        <v>9.1054937080361741E-3</v>
      </c>
      <c r="AO145" s="35">
        <f t="shared" si="608"/>
        <v>9.1054937080361741E-3</v>
      </c>
      <c r="AP145" s="35">
        <f t="shared" si="608"/>
        <v>9.1054937080361741E-3</v>
      </c>
      <c r="AQ145" s="29"/>
      <c r="AR145" s="35">
        <f>AP145</f>
        <v>9.1054937080361741E-3</v>
      </c>
      <c r="AS145" s="35">
        <f t="shared" si="609"/>
        <v>9.1054937080361741E-3</v>
      </c>
      <c r="AT145" s="35">
        <f t="shared" si="609"/>
        <v>9.1054937080361741E-3</v>
      </c>
      <c r="AU145" s="35">
        <f t="shared" si="609"/>
        <v>9.1054937080361741E-3</v>
      </c>
      <c r="AV145" s="29"/>
    </row>
    <row r="146" spans="2:48" s="23" customFormat="1" outlineLevel="1" x14ac:dyDescent="0.3">
      <c r="B146" s="200" t="s">
        <v>186</v>
      </c>
      <c r="C146" s="201"/>
      <c r="D146" s="113"/>
      <c r="E146" s="113"/>
      <c r="F146" s="113"/>
      <c r="G146" s="113"/>
      <c r="H146" s="137"/>
      <c r="I146" s="113">
        <f>I33/D33-1</f>
        <v>0.2254857129231771</v>
      </c>
      <c r="J146" s="113">
        <f t="shared" ref="J146:AV146" si="613">J33/E33-1</f>
        <v>-0.47546772308917484</v>
      </c>
      <c r="K146" s="113">
        <f t="shared" si="613"/>
        <v>-1.5172211898784418</v>
      </c>
      <c r="L146" s="113">
        <f t="shared" si="613"/>
        <v>-0.49266142278343572</v>
      </c>
      <c r="M146" s="137">
        <f t="shared" si="613"/>
        <v>-0.73466371126240593</v>
      </c>
      <c r="N146" s="113">
        <f t="shared" si="613"/>
        <v>-0.292754196932551</v>
      </c>
      <c r="O146" s="113">
        <f t="shared" si="613"/>
        <v>1.0009687774744878</v>
      </c>
      <c r="P146" s="113">
        <f t="shared" si="613"/>
        <v>-2.6748075301104208</v>
      </c>
      <c r="Q146" s="113">
        <f t="shared" si="613"/>
        <v>3.4604705530296798</v>
      </c>
      <c r="R146" s="137">
        <f t="shared" si="613"/>
        <v>3.5714373754781779</v>
      </c>
      <c r="S146" s="113">
        <f t="shared" si="613"/>
        <v>0.31844745711851452</v>
      </c>
      <c r="T146" s="113">
        <f t="shared" si="613"/>
        <v>5.0603007043171555E-2</v>
      </c>
      <c r="U146" s="113">
        <f t="shared" si="613"/>
        <v>-0.18430865147381992</v>
      </c>
      <c r="V146" s="113">
        <f t="shared" si="613"/>
        <v>-0.55234250692993192</v>
      </c>
      <c r="W146" s="137">
        <f t="shared" si="613"/>
        <v>-0.22716128751643805</v>
      </c>
      <c r="X146" s="113">
        <f t="shared" si="613"/>
        <v>7.9550718576035795E-3</v>
      </c>
      <c r="Y146" s="113">
        <f t="shared" si="613"/>
        <v>0.16353283362602267</v>
      </c>
      <c r="Z146" s="113">
        <f t="shared" si="613"/>
        <v>0.10532170917404327</v>
      </c>
      <c r="AA146" s="113">
        <f t="shared" si="613"/>
        <v>0.40634063366669215</v>
      </c>
      <c r="AB146" s="137">
        <f t="shared" si="613"/>
        <v>0.16633183661452011</v>
      </c>
      <c r="AC146" s="113">
        <f t="shared" si="613"/>
        <v>0.37068155117772927</v>
      </c>
      <c r="AD146" s="113">
        <f t="shared" si="613"/>
        <v>0.1586386868546692</v>
      </c>
      <c r="AE146" s="113">
        <f t="shared" si="613"/>
        <v>0.12116751352677335</v>
      </c>
      <c r="AF146" s="113">
        <f t="shared" si="613"/>
        <v>3.7980418684439021E-2</v>
      </c>
      <c r="AG146" s="137">
        <f t="shared" si="613"/>
        <v>0.15943330504785913</v>
      </c>
      <c r="AH146" s="113">
        <f t="shared" si="613"/>
        <v>0.17573761042572644</v>
      </c>
      <c r="AI146" s="113">
        <f t="shared" si="613"/>
        <v>0.19254693827386538</v>
      </c>
      <c r="AJ146" s="113">
        <f t="shared" si="613"/>
        <v>0.27588893521025404</v>
      </c>
      <c r="AK146" s="113">
        <f t="shared" si="613"/>
        <v>0.25510246885070131</v>
      </c>
      <c r="AL146" s="137">
        <f t="shared" si="613"/>
        <v>0.22545524003324302</v>
      </c>
      <c r="AM146" s="113">
        <f t="shared" si="613"/>
        <v>0.16962595623783461</v>
      </c>
      <c r="AN146" s="113">
        <f t="shared" si="613"/>
        <v>0.15859141889379824</v>
      </c>
      <c r="AO146" s="113">
        <f t="shared" si="613"/>
        <v>0.10936473083554477</v>
      </c>
      <c r="AP146" s="113">
        <f t="shared" si="613"/>
        <v>8.8534119857429427E-2</v>
      </c>
      <c r="AQ146" s="137">
        <f t="shared" si="613"/>
        <v>0.13011272296156662</v>
      </c>
      <c r="AR146" s="113">
        <f t="shared" si="613"/>
        <v>7.8947582567163277E-2</v>
      </c>
      <c r="AS146" s="113">
        <f t="shared" si="613"/>
        <v>8.1577494336869449E-2</v>
      </c>
      <c r="AT146" s="113">
        <f t="shared" si="613"/>
        <v>7.7934701309922527E-2</v>
      </c>
      <c r="AU146" s="113">
        <f t="shared" si="613"/>
        <v>8.0391028130848863E-2</v>
      </c>
      <c r="AV146" s="137">
        <f t="shared" si="613"/>
        <v>7.9605221864034625E-2</v>
      </c>
    </row>
    <row r="147" spans="2:48" s="23" customFormat="1" outlineLevel="1" x14ac:dyDescent="0.3">
      <c r="B147" s="200" t="s">
        <v>139</v>
      </c>
      <c r="C147" s="201"/>
      <c r="D147" s="27"/>
      <c r="E147" s="27"/>
      <c r="F147" s="27"/>
      <c r="G147" s="27"/>
      <c r="H147" s="29"/>
      <c r="I147" s="27">
        <f t="shared" ref="I147:V147" si="614">I34/D34-1</f>
        <v>5.9389868457878192E-2</v>
      </c>
      <c r="J147" s="27">
        <f t="shared" si="614"/>
        <v>-0.47460546003783222</v>
      </c>
      <c r="K147" s="27">
        <f t="shared" si="614"/>
        <v>-1.5922286955663072</v>
      </c>
      <c r="L147" s="113">
        <f t="shared" si="614"/>
        <v>-0.26631134736842188</v>
      </c>
      <c r="M147" s="137">
        <f t="shared" si="614"/>
        <v>-0.59372113780519853</v>
      </c>
      <c r="N147" s="113">
        <f t="shared" si="614"/>
        <v>-0.23228377390823718</v>
      </c>
      <c r="O147" s="113">
        <f t="shared" si="614"/>
        <v>0.96992458477270005</v>
      </c>
      <c r="P147" s="113">
        <f t="shared" si="614"/>
        <v>-3.1776350920116565</v>
      </c>
      <c r="Q147" s="113">
        <f t="shared" si="614"/>
        <v>0.95350602232643134</v>
      </c>
      <c r="R147" s="29">
        <f t="shared" si="614"/>
        <v>1.8162682861720394</v>
      </c>
      <c r="S147" s="113">
        <f t="shared" si="614"/>
        <v>0.18036058258616094</v>
      </c>
      <c r="T147" s="113">
        <f t="shared" si="614"/>
        <v>-5.6546752866856842E-2</v>
      </c>
      <c r="U147" s="113">
        <f t="shared" si="614"/>
        <v>-0.16448812865885809</v>
      </c>
      <c r="V147" s="113">
        <f t="shared" si="614"/>
        <v>-0.26279791380310435</v>
      </c>
      <c r="W147" s="137">
        <f>W34/(R34-0.1-0.04)-1</f>
        <v>-7.1525533573520983E-2</v>
      </c>
      <c r="X147" s="113">
        <f t="shared" ref="X147:AV147" si="615">X34/S34-1</f>
        <v>6.727915242534821E-2</v>
      </c>
      <c r="Y147" s="113">
        <f t="shared" si="615"/>
        <v>0.22773643866843196</v>
      </c>
      <c r="Z147" s="113">
        <f t="shared" si="615"/>
        <v>8.9394667088473767E-2</v>
      </c>
      <c r="AA147" s="113">
        <f t="shared" si="615"/>
        <v>0.32611122579475427</v>
      </c>
      <c r="AB147" s="137">
        <f t="shared" si="615"/>
        <v>0.17253318908414506</v>
      </c>
      <c r="AC147" s="113">
        <f t="shared" si="615"/>
        <v>0.29730041490083137</v>
      </c>
      <c r="AD147" s="113">
        <f t="shared" si="615"/>
        <v>0.14982772973070535</v>
      </c>
      <c r="AE147" s="113">
        <f t="shared" si="615"/>
        <v>0.1158791658328151</v>
      </c>
      <c r="AF147" s="113">
        <f t="shared" si="615"/>
        <v>3.6367204254008412E-2</v>
      </c>
      <c r="AG147" s="137">
        <f t="shared" si="615"/>
        <v>0.14148331506405398</v>
      </c>
      <c r="AH147" s="113">
        <f t="shared" si="615"/>
        <v>0.16882317049873174</v>
      </c>
      <c r="AI147" s="113">
        <f t="shared" si="615"/>
        <v>0.18346735978771633</v>
      </c>
      <c r="AJ147" s="113">
        <f t="shared" si="615"/>
        <v>0.26688036439091833</v>
      </c>
      <c r="AK147" s="113">
        <f t="shared" si="615"/>
        <v>0.24843533074198176</v>
      </c>
      <c r="AL147" s="137">
        <f t="shared" si="615"/>
        <v>0.21757426242802458</v>
      </c>
      <c r="AM147" s="113">
        <f t="shared" si="615"/>
        <v>0.16674032996889854</v>
      </c>
      <c r="AN147" s="113">
        <f t="shared" si="615"/>
        <v>0.15564585357929972</v>
      </c>
      <c r="AO147" s="113">
        <f t="shared" si="615"/>
        <v>0.10733183167740856</v>
      </c>
      <c r="AP147" s="113">
        <f t="shared" si="615"/>
        <v>8.5712689293632849E-2</v>
      </c>
      <c r="AQ147" s="29">
        <f t="shared" si="615"/>
        <v>0.12746345319337937</v>
      </c>
      <c r="AR147" s="113">
        <f t="shared" si="615"/>
        <v>7.6625024097102479E-2</v>
      </c>
      <c r="AS147" s="113">
        <f t="shared" si="615"/>
        <v>7.8684572166350053E-2</v>
      </c>
      <c r="AT147" s="113">
        <f t="shared" si="615"/>
        <v>7.5755473525070061E-2</v>
      </c>
      <c r="AU147" s="113">
        <f t="shared" si="615"/>
        <v>7.8029316152506967E-2</v>
      </c>
      <c r="AV147" s="29">
        <f t="shared" si="615"/>
        <v>7.7192775737844777E-2</v>
      </c>
    </row>
    <row r="148" spans="2:48" s="23" customFormat="1" outlineLevel="1" x14ac:dyDescent="0.3">
      <c r="B148" s="200" t="s">
        <v>140</v>
      </c>
      <c r="C148" s="201"/>
      <c r="D148" s="27"/>
      <c r="E148" s="27"/>
      <c r="F148" s="27"/>
      <c r="G148" s="27"/>
      <c r="H148" s="29"/>
      <c r="I148" s="27">
        <f>'CFS (Base-Case)'!I55</f>
        <v>-0.22820512820512895</v>
      </c>
      <c r="J148" s="27">
        <f>'CFS (Base-Case)'!J55</f>
        <v>-4.4869364754098413</v>
      </c>
      <c r="K148" s="27">
        <f>'CFS (Base-Case)'!K55</f>
        <v>-1.314434752864716</v>
      </c>
      <c r="L148" s="113">
        <f>'CFS (Base-Case)'!L55</f>
        <v>0.34527569713924766</v>
      </c>
      <c r="M148" s="137">
        <f>'CFS (Base-Case)'!M55</f>
        <v>-0.68340961778517451</v>
      </c>
      <c r="N148" s="113">
        <f>'CFS (Base-Case)'!N55</f>
        <v>-2.1785305811139466E-4</v>
      </c>
      <c r="O148" s="113">
        <f>'CFS (Base-Case)'!O55</f>
        <v>-1.649232351428781</v>
      </c>
      <c r="P148" s="113">
        <f>'CFS (Base-Case)'!P55</f>
        <v>-5.7565950503127619</v>
      </c>
      <c r="Q148" s="113">
        <f>'CFS (Base-Case)'!Q55</f>
        <v>2.012477359629572E-2</v>
      </c>
      <c r="R148" s="29">
        <f>'CFS (Base-Case)'!R55</f>
        <v>2.7484040555764064</v>
      </c>
      <c r="S148" s="113">
        <f>'CFS (Base-Case)'!S55</f>
        <v>1.9175246499972598E-2</v>
      </c>
      <c r="T148" s="113">
        <f>'CFS (Base-Case)'!T55</f>
        <v>-0.81681375876895213</v>
      </c>
      <c r="U148" s="113">
        <f>'CFS (Base-Case)'!U55</f>
        <v>-0.27684391080617499</v>
      </c>
      <c r="V148" s="113">
        <f>'CFS (Base-Case)'!V55</f>
        <v>-0.12064240558931372</v>
      </c>
      <c r="W148" s="137">
        <f>'CFS (Base-Case)'!W55</f>
        <v>-0.22613385864216728</v>
      </c>
      <c r="X148" s="113">
        <f>'CFS (Base-Case)'!X55</f>
        <v>-0.10151519278243049</v>
      </c>
      <c r="Y148" s="113">
        <f>'CFS (Base-Case)'!Y55</f>
        <v>3.42008860876326</v>
      </c>
      <c r="Z148" s="113">
        <f>'CFS (Base-Case)'!Z55</f>
        <v>-0.15006052484644972</v>
      </c>
      <c r="AA148" s="113">
        <f>'CFS (Base-Case)'!AA55</f>
        <v>0.45536887484654054</v>
      </c>
      <c r="AB148" s="137">
        <f>'CFS (Base-Case)'!AB55</f>
        <v>0.16892238661618042</v>
      </c>
      <c r="AC148" s="113">
        <f>'CFS (Base-Case)'!AC55</f>
        <v>0.24691883730583397</v>
      </c>
      <c r="AD148" s="113">
        <f>'CFS (Base-Case)'!AD55</f>
        <v>0.37530176562116235</v>
      </c>
      <c r="AE148" s="113">
        <f>'CFS (Base-Case)'!AE55</f>
        <v>0.34612643463409065</v>
      </c>
      <c r="AF148" s="113">
        <f>'CFS (Base-Case)'!AF55</f>
        <v>-2.4736637203284673E-2</v>
      </c>
      <c r="AG148" s="137">
        <f>'CFS (Base-Case)'!AG55</f>
        <v>0.18597703626609663</v>
      </c>
      <c r="AH148" s="113">
        <f>'CFS (Base-Case)'!AH55</f>
        <v>0.10455238731064909</v>
      </c>
      <c r="AI148" s="113">
        <f>'CFS (Base-Case)'!AI55</f>
        <v>0.14187144563770904</v>
      </c>
      <c r="AJ148" s="113">
        <f>'CFS (Base-Case)'!AJ55</f>
        <v>0.12148208131993044</v>
      </c>
      <c r="AK148" s="113">
        <f>'CFS (Base-Case)'!AK55</f>
        <v>0.15953319173870306</v>
      </c>
      <c r="AL148" s="29">
        <f>'CFS (Base-Case)'!AL55</f>
        <v>0.13032267196899072</v>
      </c>
      <c r="AM148" s="113">
        <f>'CFS (Base-Case)'!AM55</f>
        <v>0.1149130411792938</v>
      </c>
      <c r="AN148" s="113">
        <f>'CFS (Base-Case)'!AN55</f>
        <v>8.9404302951813452E-2</v>
      </c>
      <c r="AO148" s="113">
        <f>'CFS (Base-Case)'!AO55</f>
        <v>6.9080402285330411E-2</v>
      </c>
      <c r="AP148" s="113">
        <f>'CFS (Base-Case)'!AP55</f>
        <v>9.958950546862444E-2</v>
      </c>
      <c r="AQ148" s="29">
        <f>'CFS (Base-Case)'!AQ55</f>
        <v>9.6080872136399931E-2</v>
      </c>
      <c r="AR148" s="113">
        <f>'CFS (Base-Case)'!AR55</f>
        <v>9.386363477630888E-2</v>
      </c>
      <c r="AS148" s="113">
        <f>'CFS (Base-Case)'!AS55</f>
        <v>9.4543381641309043E-2</v>
      </c>
      <c r="AT148" s="113">
        <f>'CFS (Base-Case)'!AT55</f>
        <v>0.10685952229781392</v>
      </c>
      <c r="AU148" s="113">
        <f>'CFS (Base-Case)'!AU55</f>
        <v>5.8776324102133071E-2</v>
      </c>
      <c r="AV148" s="29">
        <f>'CFS (Base-Case)'!AV55</f>
        <v>8.6134022948332944E-2</v>
      </c>
    </row>
    <row r="149" spans="2:48" s="23" customFormat="1" outlineLevel="1" x14ac:dyDescent="0.3">
      <c r="B149" s="200" t="s">
        <v>335</v>
      </c>
      <c r="C149" s="201"/>
      <c r="D149" s="27"/>
      <c r="E149" s="27"/>
      <c r="F149" s="27"/>
      <c r="G149" s="27"/>
      <c r="H149" s="29"/>
      <c r="I149" s="27"/>
      <c r="J149" s="27"/>
      <c r="K149" s="27"/>
      <c r="L149" s="113"/>
      <c r="M149" s="137"/>
      <c r="N149" s="113"/>
      <c r="O149" s="113"/>
      <c r="P149" s="113"/>
      <c r="Q149" s="113"/>
      <c r="R149" s="29"/>
      <c r="S149" s="113"/>
      <c r="T149" s="113"/>
      <c r="U149" s="113"/>
      <c r="V149" s="113"/>
      <c r="W149" s="137"/>
      <c r="X149" s="113"/>
      <c r="Y149" s="113"/>
      <c r="Z149" s="113"/>
      <c r="AA149" s="113"/>
      <c r="AB149" s="137"/>
      <c r="AC149" s="113"/>
      <c r="AD149" s="113"/>
      <c r="AE149" s="113"/>
      <c r="AF149" s="113"/>
      <c r="AG149" s="137"/>
      <c r="AH149" s="113"/>
      <c r="AI149" s="113"/>
      <c r="AJ149" s="113"/>
      <c r="AK149" s="113"/>
      <c r="AL149" s="406">
        <f>(AL34/W34)^(1/3)-1</f>
        <v>0.17678391577647634</v>
      </c>
      <c r="AM149" s="113"/>
      <c r="AN149" s="113"/>
      <c r="AO149" s="113"/>
      <c r="AP149" s="113"/>
      <c r="AQ149" s="29"/>
      <c r="AR149" s="113"/>
      <c r="AS149" s="113"/>
      <c r="AT149" s="113"/>
      <c r="AU149" s="113"/>
      <c r="AV149" s="29"/>
    </row>
    <row r="150" spans="2:48" ht="17.399999999999999" x14ac:dyDescent="0.45">
      <c r="B150" s="433" t="s">
        <v>130</v>
      </c>
      <c r="C150" s="434"/>
      <c r="D150" s="14" t="s">
        <v>19</v>
      </c>
      <c r="E150" s="14" t="s">
        <v>81</v>
      </c>
      <c r="F150" s="14" t="s">
        <v>85</v>
      </c>
      <c r="G150" s="14" t="s">
        <v>95</v>
      </c>
      <c r="H150" s="40" t="s">
        <v>96</v>
      </c>
      <c r="I150" s="14" t="s">
        <v>97</v>
      </c>
      <c r="J150" s="14" t="s">
        <v>98</v>
      </c>
      <c r="K150" s="14" t="s">
        <v>99</v>
      </c>
      <c r="L150" s="14" t="s">
        <v>142</v>
      </c>
      <c r="M150" s="40" t="s">
        <v>143</v>
      </c>
      <c r="N150" s="14" t="s">
        <v>149</v>
      </c>
      <c r="O150" s="14" t="s">
        <v>157</v>
      </c>
      <c r="P150" s="14" t="s">
        <v>159</v>
      </c>
      <c r="Q150" s="14" t="s">
        <v>172</v>
      </c>
      <c r="R150" s="40" t="s">
        <v>173</v>
      </c>
      <c r="S150" s="14" t="s">
        <v>188</v>
      </c>
      <c r="T150" s="14" t="s">
        <v>189</v>
      </c>
      <c r="U150" s="14" t="s">
        <v>204</v>
      </c>
      <c r="V150" s="12" t="s">
        <v>25</v>
      </c>
      <c r="W150" s="255" t="s">
        <v>26</v>
      </c>
      <c r="X150" s="12" t="s">
        <v>27</v>
      </c>
      <c r="Y150" s="12" t="s">
        <v>28</v>
      </c>
      <c r="Z150" s="12" t="s">
        <v>29</v>
      </c>
      <c r="AA150" s="12" t="s">
        <v>30</v>
      </c>
      <c r="AB150" s="42" t="s">
        <v>31</v>
      </c>
      <c r="AC150" s="12" t="s">
        <v>90</v>
      </c>
      <c r="AD150" s="12" t="s">
        <v>91</v>
      </c>
      <c r="AE150" s="12" t="s">
        <v>92</v>
      </c>
      <c r="AF150" s="12" t="s">
        <v>93</v>
      </c>
      <c r="AG150" s="42" t="s">
        <v>94</v>
      </c>
      <c r="AH150" s="12" t="s">
        <v>109</v>
      </c>
      <c r="AI150" s="12" t="s">
        <v>110</v>
      </c>
      <c r="AJ150" s="12" t="s">
        <v>111</v>
      </c>
      <c r="AK150" s="12" t="s">
        <v>112</v>
      </c>
      <c r="AL150" s="42" t="s">
        <v>113</v>
      </c>
      <c r="AM150" s="12" t="s">
        <v>164</v>
      </c>
      <c r="AN150" s="12" t="s">
        <v>165</v>
      </c>
      <c r="AO150" s="12" t="s">
        <v>166</v>
      </c>
      <c r="AP150" s="12" t="s">
        <v>167</v>
      </c>
      <c r="AQ150" s="42" t="s">
        <v>168</v>
      </c>
      <c r="AR150" s="12" t="s">
        <v>195</v>
      </c>
      <c r="AS150" s="12" t="s">
        <v>196</v>
      </c>
      <c r="AT150" s="12" t="s">
        <v>197</v>
      </c>
      <c r="AU150" s="12" t="s">
        <v>198</v>
      </c>
      <c r="AV150" s="42" t="s">
        <v>199</v>
      </c>
    </row>
    <row r="151" spans="2:48" outlineLevel="1" x14ac:dyDescent="0.3">
      <c r="B151" s="435" t="s">
        <v>208</v>
      </c>
      <c r="C151" s="436"/>
      <c r="D151" s="27"/>
      <c r="E151" s="27">
        <f t="shared" ref="E151:G151" si="616">(E30+E155+E158+E161)/D30-1</f>
        <v>2.777764747303535E-2</v>
      </c>
      <c r="F151" s="27">
        <f t="shared" si="616"/>
        <v>-1.7269004124131682E-2</v>
      </c>
      <c r="G151" s="27">
        <f t="shared" si="616"/>
        <v>1.9258933156590885E-2</v>
      </c>
      <c r="H151" s="9"/>
      <c r="I151" s="27">
        <f>(I30+I155+I158+I161)/G30-1</f>
        <v>-1.436336111538794E-2</v>
      </c>
      <c r="J151" s="27">
        <f t="shared" ref="J151:L151" si="617">(J30+J155+J158+J161)/I30-1</f>
        <v>-1.1333810572689007E-3</v>
      </c>
      <c r="K151" s="27">
        <f t="shared" si="617"/>
        <v>-2.8161802355349819E-3</v>
      </c>
      <c r="L151" s="27">
        <f t="shared" si="617"/>
        <v>-9.5210569021197955E-4</v>
      </c>
      <c r="M151" s="9"/>
      <c r="N151" s="27">
        <f>(N30+N155+N158+N161)/L30-1</f>
        <v>6.5210015787404707E-3</v>
      </c>
      <c r="O151" s="27">
        <f t="shared" ref="O151:Q151" si="618">(O30+O155+O158+O161)/N30-1</f>
        <v>2.1276595744681437E-3</v>
      </c>
      <c r="P151" s="27">
        <f t="shared" si="618"/>
        <v>8.4925690021231404E-4</v>
      </c>
      <c r="Q151" s="27">
        <f t="shared" si="618"/>
        <v>8.4925690021231404E-4</v>
      </c>
      <c r="R151" s="9"/>
      <c r="S151" s="27">
        <f>(S30+S155+S158+S161)/Q30-1</f>
        <v>1.7994180128374726E-2</v>
      </c>
      <c r="T151" s="27">
        <f>(T30+T155+T158+T161)/S30-1</f>
        <v>-1.2989686217510177E-2</v>
      </c>
      <c r="U151" s="27">
        <f>(U30+U155+U158+U161)/T30-1</f>
        <v>-1.9143752175426743E-3</v>
      </c>
      <c r="V151" s="35">
        <v>2E-3</v>
      </c>
      <c r="W151" s="256"/>
      <c r="X151" s="35">
        <v>2E-3</v>
      </c>
      <c r="Y151" s="35">
        <v>2E-3</v>
      </c>
      <c r="Z151" s="35">
        <v>2E-3</v>
      </c>
      <c r="AA151" s="35">
        <v>2E-3</v>
      </c>
      <c r="AB151" s="9"/>
      <c r="AC151" s="35">
        <v>2E-3</v>
      </c>
      <c r="AD151" s="35">
        <v>2E-3</v>
      </c>
      <c r="AE151" s="35">
        <v>2E-3</v>
      </c>
      <c r="AF151" s="35">
        <v>2E-3</v>
      </c>
      <c r="AG151" s="9"/>
      <c r="AH151" s="35">
        <v>2E-3</v>
      </c>
      <c r="AI151" s="35">
        <v>2E-3</v>
      </c>
      <c r="AJ151" s="35">
        <v>2E-3</v>
      </c>
      <c r="AK151" s="35">
        <v>2E-3</v>
      </c>
      <c r="AL151" s="9"/>
      <c r="AM151" s="35">
        <v>2E-3</v>
      </c>
      <c r="AN151" s="35">
        <v>2E-3</v>
      </c>
      <c r="AO151" s="35">
        <v>2E-3</v>
      </c>
      <c r="AP151" s="35">
        <v>2E-3</v>
      </c>
      <c r="AQ151" s="9"/>
      <c r="AR151" s="35">
        <v>2E-3</v>
      </c>
      <c r="AS151" s="35">
        <v>2E-3</v>
      </c>
      <c r="AT151" s="35">
        <v>2E-3</v>
      </c>
      <c r="AU151" s="35">
        <v>2E-3</v>
      </c>
      <c r="AV151" s="9"/>
    </row>
    <row r="152" spans="2:48" outlineLevel="1" x14ac:dyDescent="0.3">
      <c r="B152" s="435" t="s">
        <v>209</v>
      </c>
      <c r="C152" s="436"/>
      <c r="D152" s="27"/>
      <c r="E152" s="27">
        <f t="shared" ref="E152:G152" si="619">(E31+E155+E158+E161)/D31-1</f>
        <v>2.7604785512613583E-2</v>
      </c>
      <c r="F152" s="27">
        <f t="shared" si="619"/>
        <v>-1.6710442080933863E-2</v>
      </c>
      <c r="G152" s="27">
        <f t="shared" si="619"/>
        <v>1.9089589576967603E-2</v>
      </c>
      <c r="H152" s="9"/>
      <c r="I152" s="27">
        <f>(I31+I155+I158+I161)/G31-1</f>
        <v>-1.5386652077945762E-2</v>
      </c>
      <c r="J152" s="27">
        <f t="shared" ref="J152:L152" si="620">(J31+J155+J158+J161)/I31-1</f>
        <v>-2.5506658270361138E-3</v>
      </c>
      <c r="K152" s="27">
        <f t="shared" si="620"/>
        <v>-1.0332853392055585E-2</v>
      </c>
      <c r="L152" s="27">
        <f t="shared" si="620"/>
        <v>8.9858793324775199E-3</v>
      </c>
      <c r="M152" s="9"/>
      <c r="N152" s="27">
        <f>(N31+N155+N158+N161)/L31-1</f>
        <v>3.392705682782049E-3</v>
      </c>
      <c r="O152" s="27">
        <f t="shared" ref="O152:Q152" si="621">(O31+O155+O158+O161)/N31-1</f>
        <v>1.5215553677092597E-3</v>
      </c>
      <c r="P152" s="27">
        <f t="shared" si="621"/>
        <v>1.1816340310601969E-3</v>
      </c>
      <c r="Q152" s="27">
        <f t="shared" si="621"/>
        <v>1.4331478671387732E-3</v>
      </c>
      <c r="R152" s="9"/>
      <c r="S152" s="27">
        <f>(S31+S155+S158+S161)/Q31-1</f>
        <v>1.6689115245390962E-2</v>
      </c>
      <c r="T152" s="27">
        <f>(T31+T155+T158+T161)/S31-1</f>
        <v>-1.4867191058983376E-2</v>
      </c>
      <c r="U152" s="27">
        <f>(U31+U155+U158+U161)/T31-1</f>
        <v>-2.5132160499177214E-3</v>
      </c>
      <c r="V152" s="35">
        <v>1E-3</v>
      </c>
      <c r="W152" s="256"/>
      <c r="X152" s="35">
        <v>1E-3</v>
      </c>
      <c r="Y152" s="35">
        <v>1E-3</v>
      </c>
      <c r="Z152" s="35">
        <v>1E-3</v>
      </c>
      <c r="AA152" s="35">
        <v>1E-3</v>
      </c>
      <c r="AB152" s="9"/>
      <c r="AC152" s="35">
        <v>1E-3</v>
      </c>
      <c r="AD152" s="35">
        <v>1E-3</v>
      </c>
      <c r="AE152" s="35">
        <v>1E-3</v>
      </c>
      <c r="AF152" s="35">
        <v>1E-3</v>
      </c>
      <c r="AG152" s="9"/>
      <c r="AH152" s="35">
        <v>1E-3</v>
      </c>
      <c r="AI152" s="35">
        <v>1E-3</v>
      </c>
      <c r="AJ152" s="35">
        <v>1E-3</v>
      </c>
      <c r="AK152" s="35">
        <v>1E-3</v>
      </c>
      <c r="AL152" s="9"/>
      <c r="AM152" s="35">
        <v>1E-3</v>
      </c>
      <c r="AN152" s="35">
        <v>1E-3</v>
      </c>
      <c r="AO152" s="35">
        <v>1E-3</v>
      </c>
      <c r="AP152" s="35">
        <v>1E-3</v>
      </c>
      <c r="AQ152" s="9"/>
      <c r="AR152" s="35">
        <v>1E-3</v>
      </c>
      <c r="AS152" s="35">
        <v>1E-3</v>
      </c>
      <c r="AT152" s="35">
        <v>1E-3</v>
      </c>
      <c r="AU152" s="35">
        <v>1E-3</v>
      </c>
      <c r="AV152" s="9"/>
    </row>
    <row r="153" spans="2:48" outlineLevel="1" x14ac:dyDescent="0.3">
      <c r="B153" s="447" t="s">
        <v>137</v>
      </c>
      <c r="C153" s="448"/>
      <c r="D153" s="245"/>
      <c r="E153" s="144">
        <v>69.922678056926543</v>
      </c>
      <c r="F153" s="144">
        <v>83.13076202744692</v>
      </c>
      <c r="G153" s="144">
        <v>92.52</v>
      </c>
      <c r="H153" s="246"/>
      <c r="I153" s="144">
        <v>85.23</v>
      </c>
      <c r="J153" s="144">
        <v>78.08</v>
      </c>
      <c r="K153" s="144">
        <v>0</v>
      </c>
      <c r="L153" s="144">
        <v>0</v>
      </c>
      <c r="M153" s="246"/>
      <c r="N153" s="144">
        <v>0</v>
      </c>
      <c r="O153" s="144">
        <v>0</v>
      </c>
      <c r="P153" s="144">
        <v>0</v>
      </c>
      <c r="Q153" s="144">
        <v>0</v>
      </c>
      <c r="R153" s="246"/>
      <c r="S153" s="144">
        <v>113.12</v>
      </c>
      <c r="T153" s="144">
        <v>94.51</v>
      </c>
      <c r="U153" s="144">
        <v>0</v>
      </c>
      <c r="V153" s="247">
        <f>+U153</f>
        <v>0</v>
      </c>
      <c r="W153" s="257"/>
      <c r="X153" s="247">
        <v>0</v>
      </c>
      <c r="Y153" s="247">
        <v>0</v>
      </c>
      <c r="Z153" s="247">
        <v>0</v>
      </c>
      <c r="AA153" s="247">
        <v>0</v>
      </c>
      <c r="AB153" s="246"/>
      <c r="AC153" s="393">
        <f>AG35/0.02</f>
        <v>109.3955625</v>
      </c>
      <c r="AD153" s="247">
        <f>+AC153</f>
        <v>109.3955625</v>
      </c>
      <c r="AE153" s="247">
        <f>+AD153</f>
        <v>109.3955625</v>
      </c>
      <c r="AF153" s="247">
        <f>+AE153</f>
        <v>109.3955625</v>
      </c>
      <c r="AG153" s="390"/>
      <c r="AH153" s="393">
        <f>AL35/0.02</f>
        <v>114.865340625</v>
      </c>
      <c r="AI153" s="247">
        <f>AH153</f>
        <v>114.865340625</v>
      </c>
      <c r="AJ153" s="247">
        <f>AI153</f>
        <v>114.865340625</v>
      </c>
      <c r="AK153" s="247">
        <f>AJ153</f>
        <v>114.865340625</v>
      </c>
      <c r="AL153" s="390"/>
      <c r="AM153" s="247">
        <f>AQ35/0.02</f>
        <v>119.7152105625</v>
      </c>
      <c r="AN153" s="247">
        <f>AM153</f>
        <v>119.7152105625</v>
      </c>
      <c r="AO153" s="247">
        <f>AN153</f>
        <v>119.7152105625</v>
      </c>
      <c r="AP153" s="247">
        <f>AO153</f>
        <v>119.7152105625</v>
      </c>
      <c r="AQ153" s="246"/>
      <c r="AR153" s="247">
        <f>AV35/0.02</f>
        <v>122.10951477375001</v>
      </c>
      <c r="AS153" s="247">
        <f>AR153</f>
        <v>122.10951477375001</v>
      </c>
      <c r="AT153" s="247">
        <f>AS153</f>
        <v>122.10951477375001</v>
      </c>
      <c r="AU153" s="247">
        <f>AT153</f>
        <v>122.10951477375001</v>
      </c>
      <c r="AV153" s="246"/>
    </row>
    <row r="154" spans="2:48" outlineLevel="1" x14ac:dyDescent="0.3">
      <c r="B154" s="435" t="s">
        <v>138</v>
      </c>
      <c r="C154" s="436"/>
      <c r="D154" s="16"/>
      <c r="E154" s="105">
        <v>713.2</v>
      </c>
      <c r="F154" s="105">
        <f>954.3-713.2</f>
        <v>241.09999999999991</v>
      </c>
      <c r="G154" s="101">
        <v>2177.1942404399997</v>
      </c>
      <c r="H154" s="17">
        <f>+SUM(D154:G154)</f>
        <v>3131.4942404399999</v>
      </c>
      <c r="I154" s="101">
        <v>1107.9389472300002</v>
      </c>
      <c r="J154" s="101">
        <v>567.02921856000012</v>
      </c>
      <c r="K154" s="101">
        <v>0</v>
      </c>
      <c r="L154" s="101">
        <v>0</v>
      </c>
      <c r="M154" s="17">
        <f>+SUM(I154:L154)</f>
        <v>1674.9681657900003</v>
      </c>
      <c r="N154" s="101">
        <v>0</v>
      </c>
      <c r="O154" s="101">
        <v>0</v>
      </c>
      <c r="P154" s="101">
        <v>0</v>
      </c>
      <c r="Q154" s="101">
        <v>0</v>
      </c>
      <c r="R154" s="17">
        <f>+SUM(N154:Q154)</f>
        <v>0</v>
      </c>
      <c r="S154" s="101">
        <f>S155*S153</f>
        <v>3520.86</v>
      </c>
      <c r="T154" s="101">
        <f>T155*T153</f>
        <v>492.13842613000003</v>
      </c>
      <c r="U154" s="101">
        <v>0</v>
      </c>
      <c r="V154" s="33">
        <f>U154</f>
        <v>0</v>
      </c>
      <c r="W154" s="169">
        <f>+SUM(S154:V154)</f>
        <v>4012.9984261300001</v>
      </c>
      <c r="X154" s="33">
        <v>0</v>
      </c>
      <c r="Y154" s="33">
        <v>0</v>
      </c>
      <c r="Z154" s="33">
        <v>0</v>
      </c>
      <c r="AA154" s="33">
        <v>0</v>
      </c>
      <c r="AB154" s="17">
        <f>+SUM(X154:AA154)</f>
        <v>0</v>
      </c>
      <c r="AC154" s="33"/>
      <c r="AD154" s="33"/>
      <c r="AE154" s="33">
        <v>100</v>
      </c>
      <c r="AF154" s="33">
        <v>100</v>
      </c>
      <c r="AG154" s="17">
        <f>+SUM(AC154:AF154)</f>
        <v>200</v>
      </c>
      <c r="AH154" s="33">
        <v>100</v>
      </c>
      <c r="AI154" s="33">
        <v>100</v>
      </c>
      <c r="AJ154" s="33">
        <v>5191</v>
      </c>
      <c r="AK154" s="33">
        <f>AJ154</f>
        <v>5191</v>
      </c>
      <c r="AL154" s="17">
        <f>+SUM(AH154:AK154)</f>
        <v>10582</v>
      </c>
      <c r="AM154" s="33">
        <v>250</v>
      </c>
      <c r="AN154" s="33">
        <v>250</v>
      </c>
      <c r="AO154" s="33">
        <v>250</v>
      </c>
      <c r="AP154" s="33">
        <v>250</v>
      </c>
      <c r="AQ154" s="17">
        <f>+SUM(AM154:AP154)</f>
        <v>1000</v>
      </c>
      <c r="AR154" s="33">
        <v>250</v>
      </c>
      <c r="AS154" s="33">
        <v>250</v>
      </c>
      <c r="AT154" s="33">
        <v>250</v>
      </c>
      <c r="AU154" s="33">
        <v>250</v>
      </c>
      <c r="AV154" s="17">
        <f>+SUM(AR154:AU154)</f>
        <v>1000</v>
      </c>
    </row>
    <row r="155" spans="2:48" outlineLevel="1" x14ac:dyDescent="0.3">
      <c r="B155" s="435" t="s">
        <v>207</v>
      </c>
      <c r="C155" s="436"/>
      <c r="D155" s="139"/>
      <c r="E155" s="139">
        <f>IF((E154)&gt;0,(E154/E153),0)</f>
        <v>10.199838161509755</v>
      </c>
      <c r="F155" s="142">
        <f>IF((F154)&gt;0,(F154/F153),0)</f>
        <v>2.9002500893760241</v>
      </c>
      <c r="G155" s="142">
        <f>IF((G154)&gt;0,(G154/G153),0)</f>
        <v>23.532146999999998</v>
      </c>
      <c r="H155" s="49">
        <f>+SUM(D155:G155)</f>
        <v>36.632235250885778</v>
      </c>
      <c r="I155" s="139">
        <f>IF((I154)&gt;0,(I154/I153),0)</f>
        <v>12.999401000000001</v>
      </c>
      <c r="J155" s="142">
        <f>IF((J154)&gt;0,(J154/J153),0)</f>
        <v>7.262157000000002</v>
      </c>
      <c r="K155" s="139">
        <f>IF((K154)&gt;0,(K154/K153),0)</f>
        <v>0</v>
      </c>
      <c r="L155" s="139">
        <f>IF((L154)&gt;0,(L154/L153),0)</f>
        <v>0</v>
      </c>
      <c r="M155" s="49">
        <f>+SUM(I155:L155)</f>
        <v>20.261558000000001</v>
      </c>
      <c r="N155" s="139">
        <f>IF((N154)&gt;0,(N154/N153),0)</f>
        <v>0</v>
      </c>
      <c r="O155" s="139">
        <f>IF((O154)&gt;0,(O154/O153),0)</f>
        <v>0</v>
      </c>
      <c r="P155" s="139">
        <f>IF((P154)&gt;0,(P154/P153),0)</f>
        <v>0</v>
      </c>
      <c r="Q155" s="139">
        <f>IF((Q154)&gt;0,(Q154/Q153),0)</f>
        <v>0</v>
      </c>
      <c r="R155" s="49">
        <f>+SUM(N155:Q155)</f>
        <v>0</v>
      </c>
      <c r="S155" s="139">
        <v>31.125</v>
      </c>
      <c r="T155" s="142">
        <v>5.2072630000000002</v>
      </c>
      <c r="U155" s="142">
        <f>IF((U154)&gt;0,(U154/U153),0)</f>
        <v>0</v>
      </c>
      <c r="V155" s="139">
        <f>IF((V154)&gt;0,(V154/V153),0)</f>
        <v>0</v>
      </c>
      <c r="W155" s="49">
        <f>+SUM(S155:V155)</f>
        <v>36.332262999999998</v>
      </c>
      <c r="X155" s="139">
        <f>IF((X154)&gt;0,(X154/X153),0)</f>
        <v>0</v>
      </c>
      <c r="Y155" s="139">
        <f>IF((Y154)&gt;0,(Y154/Y153),0)</f>
        <v>0</v>
      </c>
      <c r="Z155" s="139">
        <f>IF((Z154)&gt;0,(Z154/Z153),0)</f>
        <v>0</v>
      </c>
      <c r="AA155" s="139">
        <f>IF((AA154)&gt;0,(AA154/AA153),0)</f>
        <v>0</v>
      </c>
      <c r="AB155" s="49">
        <f>+SUM(X155:AA155)</f>
        <v>0</v>
      </c>
      <c r="AC155" s="139">
        <f>IF((AC154)&gt;0,(AC154/AC153),0)</f>
        <v>0</v>
      </c>
      <c r="AD155" s="139">
        <f>IF((AD154)&gt;0,(AD154/AD153),0)</f>
        <v>0</v>
      </c>
      <c r="AE155" s="139">
        <f>IF((AE154)&gt;0,(AE154/AE153),0)</f>
        <v>0.9141138608798689</v>
      </c>
      <c r="AF155" s="139">
        <f>IF((AF154)&gt;0,(AF154/AF153),0)</f>
        <v>0.9141138608798689</v>
      </c>
      <c r="AG155" s="49">
        <f>+SUM(AC155:AF155)</f>
        <v>1.8282277217597378</v>
      </c>
      <c r="AH155" s="139">
        <f>IF((AH154)&gt;0,(AH154/AH153),0)</f>
        <v>0.87058462940939896</v>
      </c>
      <c r="AI155" s="139">
        <f>IF((AI154)&gt;0,(AI154/AI153),0)</f>
        <v>0.87058462940939896</v>
      </c>
      <c r="AJ155" s="139">
        <f>IF((AJ154)&gt;0,(AJ154/AJ153),0)</f>
        <v>45.192048112641899</v>
      </c>
      <c r="AK155" s="139">
        <f>IF((AK154)&gt;0,(AK154/AK153),0)</f>
        <v>45.192048112641899</v>
      </c>
      <c r="AL155" s="49">
        <f>+SUM(AH155:AK155)</f>
        <v>92.125265484102599</v>
      </c>
      <c r="AM155" s="139">
        <f>IF((AM154)&gt;0,(AM154/AM153),0)</f>
        <v>2.0882893562592191</v>
      </c>
      <c r="AN155" s="139">
        <f>IF((AN154)&gt;0,(AN154/AN153),0)</f>
        <v>2.0882893562592191</v>
      </c>
      <c r="AO155" s="139">
        <f>IF((AO154)&gt;0,(AO154/AO153),0)</f>
        <v>2.0882893562592191</v>
      </c>
      <c r="AP155" s="139">
        <f>IF((AP154)&gt;0,(AP154/AP153),0)</f>
        <v>2.0882893562592191</v>
      </c>
      <c r="AQ155" s="49">
        <f>+SUM(AM155:AP155)</f>
        <v>8.3531574250368763</v>
      </c>
      <c r="AR155" s="139">
        <f>IF((AR154)&gt;0,(AR154/AR153),0)</f>
        <v>2.0473425061364892</v>
      </c>
      <c r="AS155" s="139">
        <f>IF((AS154)&gt;0,(AS154/AS153),0)</f>
        <v>2.0473425061364892</v>
      </c>
      <c r="AT155" s="139">
        <f>IF((AT154)&gt;0,(AT154/AT153),0)</f>
        <v>2.0473425061364892</v>
      </c>
      <c r="AU155" s="139">
        <f>IF((AU154)&gt;0,(AU154/AU153),0)</f>
        <v>2.0473425061364892</v>
      </c>
      <c r="AV155" s="49">
        <f>+SUM(AR155:AU155)</f>
        <v>8.1893700245459566</v>
      </c>
    </row>
    <row r="156" spans="2:48" outlineLevel="1" x14ac:dyDescent="0.3">
      <c r="B156" s="439" t="s">
        <v>131</v>
      </c>
      <c r="C156" s="440"/>
      <c r="D156" s="143">
        <v>55.58</v>
      </c>
      <c r="E156" s="144">
        <v>65.03</v>
      </c>
      <c r="F156" s="96"/>
      <c r="G156" s="96"/>
      <c r="H156" s="76"/>
      <c r="I156" s="96"/>
      <c r="J156" s="96"/>
      <c r="K156" s="96"/>
      <c r="L156" s="96"/>
      <c r="M156" s="76"/>
      <c r="N156" s="96"/>
      <c r="O156" s="96"/>
      <c r="P156" s="96"/>
      <c r="Q156" s="96"/>
      <c r="R156" s="76"/>
      <c r="S156" s="96"/>
      <c r="T156" s="96"/>
      <c r="U156" s="96"/>
      <c r="V156" s="96"/>
      <c r="W156" s="76"/>
      <c r="X156" s="96"/>
      <c r="Y156" s="96"/>
      <c r="Z156" s="96"/>
      <c r="AA156" s="96"/>
      <c r="AB156" s="76"/>
      <c r="AC156" s="96"/>
      <c r="AD156" s="96"/>
      <c r="AE156" s="96"/>
      <c r="AF156" s="96"/>
      <c r="AG156" s="76"/>
      <c r="AH156" s="96"/>
      <c r="AI156" s="96"/>
      <c r="AJ156" s="96"/>
      <c r="AK156" s="96"/>
      <c r="AL156" s="76"/>
      <c r="AM156" s="96"/>
      <c r="AN156" s="96"/>
      <c r="AO156" s="96"/>
      <c r="AP156" s="96"/>
      <c r="AQ156" s="76"/>
      <c r="AR156" s="96"/>
      <c r="AS156" s="96"/>
      <c r="AT156" s="96"/>
      <c r="AU156" s="96"/>
      <c r="AV156" s="76"/>
    </row>
    <row r="157" spans="2:48" outlineLevel="1" x14ac:dyDescent="0.3">
      <c r="B157" s="441" t="s">
        <v>132</v>
      </c>
      <c r="C157" s="442"/>
      <c r="D157" s="145">
        <f>71.968334*55.58</f>
        <v>4000.0000037199998</v>
      </c>
      <c r="E157" s="146">
        <v>318.64700000000005</v>
      </c>
      <c r="F157" s="139"/>
      <c r="G157" s="139"/>
      <c r="H157" s="49"/>
      <c r="I157" s="139"/>
      <c r="J157" s="139"/>
      <c r="K157" s="139"/>
      <c r="L157" s="139"/>
      <c r="M157" s="49"/>
      <c r="N157" s="139"/>
      <c r="O157" s="139"/>
      <c r="P157" s="139"/>
      <c r="Q157" s="139"/>
      <c r="R157" s="49"/>
      <c r="S157" s="139"/>
      <c r="T157" s="139"/>
      <c r="U157" s="142"/>
      <c r="V157" s="139"/>
      <c r="W157" s="137"/>
      <c r="X157" s="139"/>
      <c r="Y157" s="139"/>
      <c r="Z157" s="139"/>
      <c r="AA157" s="139"/>
      <c r="AB157" s="49"/>
      <c r="AC157" s="139"/>
      <c r="AD157" s="139"/>
      <c r="AE157" s="139"/>
      <c r="AF157" s="139"/>
      <c r="AG157" s="49"/>
      <c r="AH157" s="139"/>
      <c r="AI157" s="139"/>
      <c r="AJ157" s="139"/>
      <c r="AK157" s="139"/>
      <c r="AL157" s="49"/>
      <c r="AM157" s="139"/>
      <c r="AN157" s="139"/>
      <c r="AO157" s="139"/>
      <c r="AP157" s="139"/>
      <c r="AQ157" s="49"/>
      <c r="AR157" s="139"/>
      <c r="AS157" s="139"/>
      <c r="AT157" s="139"/>
      <c r="AU157" s="139"/>
      <c r="AV157" s="49"/>
    </row>
    <row r="158" spans="2:48" outlineLevel="1" x14ac:dyDescent="0.3">
      <c r="B158" s="437" t="s">
        <v>133</v>
      </c>
      <c r="C158" s="438"/>
      <c r="D158" s="147">
        <f>IF((D157)&gt;0,(D157/D156),0)</f>
        <v>71.968333999999999</v>
      </c>
      <c r="E158" s="140">
        <f>IF((E157)&gt;0,(E157/E156),0)</f>
        <v>4.9000000000000004</v>
      </c>
      <c r="F158" s="140"/>
      <c r="G158" s="140"/>
      <c r="H158" s="141"/>
      <c r="I158" s="140"/>
      <c r="J158" s="140"/>
      <c r="K158" s="140"/>
      <c r="L158" s="140"/>
      <c r="M158" s="141"/>
      <c r="N158" s="140"/>
      <c r="O158" s="140"/>
      <c r="P158" s="140"/>
      <c r="Q158" s="140"/>
      <c r="R158" s="141"/>
      <c r="S158" s="140"/>
      <c r="T158" s="140"/>
      <c r="U158" s="140"/>
      <c r="V158" s="140"/>
      <c r="W158" s="199"/>
      <c r="X158" s="140"/>
      <c r="Y158" s="140"/>
      <c r="Z158" s="140"/>
      <c r="AA158" s="140"/>
      <c r="AB158" s="141"/>
      <c r="AC158" s="140"/>
      <c r="AD158" s="140"/>
      <c r="AE158" s="140"/>
      <c r="AF158" s="140"/>
      <c r="AG158" s="141"/>
      <c r="AH158" s="140"/>
      <c r="AI158" s="140"/>
      <c r="AJ158" s="140"/>
      <c r="AK158" s="140"/>
      <c r="AL158" s="141"/>
      <c r="AM158" s="140"/>
      <c r="AN158" s="140"/>
      <c r="AO158" s="140"/>
      <c r="AP158" s="140"/>
      <c r="AQ158" s="141"/>
      <c r="AR158" s="140"/>
      <c r="AS158" s="140"/>
      <c r="AT158" s="140"/>
      <c r="AU158" s="140"/>
      <c r="AV158" s="141"/>
    </row>
    <row r="159" spans="2:48" outlineLevel="1" x14ac:dyDescent="0.3">
      <c r="B159" s="200" t="s">
        <v>134</v>
      </c>
      <c r="C159" s="201"/>
      <c r="D159" s="139"/>
      <c r="E159" s="36">
        <v>71.959999999999994</v>
      </c>
      <c r="F159" s="36">
        <v>76.5</v>
      </c>
      <c r="G159" s="139"/>
      <c r="H159" s="49"/>
      <c r="I159" s="139"/>
      <c r="J159" s="139"/>
      <c r="K159" s="139"/>
      <c r="L159" s="139"/>
      <c r="M159" s="49"/>
      <c r="N159" s="139"/>
      <c r="O159" s="139"/>
      <c r="P159" s="139"/>
      <c r="Q159" s="139"/>
      <c r="R159" s="49"/>
      <c r="S159" s="139"/>
      <c r="T159" s="139"/>
      <c r="U159" s="139"/>
      <c r="V159" s="139"/>
      <c r="W159" s="49"/>
      <c r="X159" s="139"/>
      <c r="Y159" s="139"/>
      <c r="Z159" s="139"/>
      <c r="AA159" s="139"/>
      <c r="AB159" s="49"/>
      <c r="AC159" s="139"/>
      <c r="AD159" s="139"/>
      <c r="AE159" s="139"/>
      <c r="AF159" s="139"/>
      <c r="AG159" s="49"/>
      <c r="AH159" s="139"/>
      <c r="AI159" s="139"/>
      <c r="AJ159" s="139"/>
      <c r="AK159" s="139"/>
      <c r="AL159" s="49"/>
      <c r="AM159" s="139"/>
      <c r="AN159" s="139"/>
      <c r="AO159" s="139"/>
      <c r="AP159" s="139"/>
      <c r="AQ159" s="49"/>
      <c r="AR159" s="139"/>
      <c r="AS159" s="139"/>
      <c r="AT159" s="139"/>
      <c r="AU159" s="139"/>
      <c r="AV159" s="49"/>
    </row>
    <row r="160" spans="2:48" outlineLevel="1" x14ac:dyDescent="0.3">
      <c r="B160" s="200" t="s">
        <v>135</v>
      </c>
      <c r="C160" s="201"/>
      <c r="D160" s="139"/>
      <c r="E160" s="16">
        <v>1597.5119999999997</v>
      </c>
      <c r="F160" s="16">
        <v>298.35000000000002</v>
      </c>
      <c r="G160" s="139"/>
      <c r="H160" s="49"/>
      <c r="I160" s="139"/>
      <c r="J160" s="139"/>
      <c r="K160" s="139"/>
      <c r="L160" s="139"/>
      <c r="M160" s="49"/>
      <c r="N160" s="179"/>
      <c r="O160" s="139"/>
      <c r="P160" s="139"/>
      <c r="Q160" s="139"/>
      <c r="R160" s="49"/>
      <c r="S160" s="139"/>
      <c r="T160" s="139"/>
      <c r="U160" s="139"/>
      <c r="V160" s="139"/>
      <c r="W160" s="49"/>
      <c r="X160" s="139"/>
      <c r="Y160" s="139"/>
      <c r="Z160" s="139"/>
      <c r="AA160" s="139"/>
      <c r="AB160" s="49"/>
      <c r="AC160" s="139"/>
      <c r="AD160" s="139"/>
      <c r="AE160" s="139"/>
      <c r="AF160" s="139"/>
      <c r="AG160" s="49"/>
      <c r="AH160" s="139"/>
      <c r="AI160" s="139"/>
      <c r="AJ160" s="139"/>
      <c r="AK160" s="139"/>
      <c r="AL160" s="49"/>
      <c r="AM160" s="139"/>
      <c r="AN160" s="139"/>
      <c r="AO160" s="139"/>
      <c r="AP160" s="139"/>
      <c r="AQ160" s="49"/>
      <c r="AR160" s="139"/>
      <c r="AS160" s="139"/>
      <c r="AT160" s="139"/>
      <c r="AU160" s="139"/>
      <c r="AV160" s="49"/>
    </row>
    <row r="161" spans="2:48" outlineLevel="1" x14ac:dyDescent="0.3">
      <c r="B161" s="200" t="s">
        <v>136</v>
      </c>
      <c r="C161" s="201"/>
      <c r="D161" s="139"/>
      <c r="E161" s="139">
        <f>IF((E160)&gt;0,(E160/E159),0)</f>
        <v>22.2</v>
      </c>
      <c r="F161" s="139">
        <f>IF((F160)&gt;0,(F160/F159),0)</f>
        <v>3.9000000000000004</v>
      </c>
      <c r="G161" s="139"/>
      <c r="H161" s="49"/>
      <c r="I161" s="139"/>
      <c r="J161" s="139"/>
      <c r="K161" s="139"/>
      <c r="L161" s="139"/>
      <c r="M161" s="49"/>
      <c r="N161" s="139"/>
      <c r="O161" s="139"/>
      <c r="P161" s="139"/>
      <c r="Q161" s="139"/>
      <c r="R161" s="49"/>
      <c r="S161" s="139"/>
      <c r="T161" s="139"/>
      <c r="U161" s="139"/>
      <c r="V161" s="139"/>
      <c r="W161" s="49"/>
      <c r="X161" s="139"/>
      <c r="Y161" s="139"/>
      <c r="Z161" s="139"/>
      <c r="AA161" s="139"/>
      <c r="AB161" s="49"/>
      <c r="AC161" s="139"/>
      <c r="AD161" s="139"/>
      <c r="AE161" s="139"/>
      <c r="AF161" s="139"/>
      <c r="AG161" s="49"/>
      <c r="AH161" s="139"/>
      <c r="AI161" s="139"/>
      <c r="AJ161" s="139"/>
      <c r="AK161" s="139"/>
      <c r="AL161" s="49"/>
      <c r="AM161" s="139"/>
      <c r="AN161" s="139"/>
      <c r="AO161" s="139"/>
      <c r="AP161" s="139"/>
      <c r="AQ161" s="49"/>
      <c r="AR161" s="139"/>
      <c r="AS161" s="139"/>
      <c r="AT161" s="139"/>
      <c r="AU161" s="139"/>
      <c r="AV161" s="49"/>
    </row>
    <row r="162" spans="2:48" ht="17.399999999999999" x14ac:dyDescent="0.45">
      <c r="B162" s="433" t="s">
        <v>12</v>
      </c>
      <c r="C162" s="434"/>
      <c r="D162" s="14" t="s">
        <v>19</v>
      </c>
      <c r="E162" s="14" t="s">
        <v>81</v>
      </c>
      <c r="F162" s="14" t="s">
        <v>85</v>
      </c>
      <c r="G162" s="14" t="s">
        <v>95</v>
      </c>
      <c r="H162" s="40" t="s">
        <v>96</v>
      </c>
      <c r="I162" s="14" t="s">
        <v>97</v>
      </c>
      <c r="J162" s="14" t="s">
        <v>98</v>
      </c>
      <c r="K162" s="14" t="s">
        <v>99</v>
      </c>
      <c r="L162" s="14" t="s">
        <v>142</v>
      </c>
      <c r="M162" s="40" t="s">
        <v>143</v>
      </c>
      <c r="N162" s="14" t="s">
        <v>149</v>
      </c>
      <c r="O162" s="14" t="s">
        <v>157</v>
      </c>
      <c r="P162" s="14" t="s">
        <v>159</v>
      </c>
      <c r="Q162" s="14" t="s">
        <v>172</v>
      </c>
      <c r="R162" s="40" t="s">
        <v>173</v>
      </c>
      <c r="S162" s="14" t="s">
        <v>188</v>
      </c>
      <c r="T162" s="14" t="s">
        <v>189</v>
      </c>
      <c r="U162" s="14" t="s">
        <v>204</v>
      </c>
      <c r="V162" s="12" t="s">
        <v>25</v>
      </c>
      <c r="W162" s="42" t="s">
        <v>26</v>
      </c>
      <c r="X162" s="12" t="s">
        <v>27</v>
      </c>
      <c r="Y162" s="12" t="s">
        <v>28</v>
      </c>
      <c r="Z162" s="12" t="s">
        <v>29</v>
      </c>
      <c r="AA162" s="12" t="s">
        <v>30</v>
      </c>
      <c r="AB162" s="42" t="s">
        <v>31</v>
      </c>
      <c r="AC162" s="12" t="s">
        <v>90</v>
      </c>
      <c r="AD162" s="12" t="s">
        <v>91</v>
      </c>
      <c r="AE162" s="12" t="s">
        <v>92</v>
      </c>
      <c r="AF162" s="12" t="s">
        <v>93</v>
      </c>
      <c r="AG162" s="42" t="s">
        <v>94</v>
      </c>
      <c r="AH162" s="12" t="s">
        <v>109</v>
      </c>
      <c r="AI162" s="12" t="s">
        <v>110</v>
      </c>
      <c r="AJ162" s="12" t="s">
        <v>111</v>
      </c>
      <c r="AK162" s="12" t="s">
        <v>112</v>
      </c>
      <c r="AL162" s="42" t="s">
        <v>113</v>
      </c>
      <c r="AM162" s="12" t="s">
        <v>164</v>
      </c>
      <c r="AN162" s="12" t="s">
        <v>165</v>
      </c>
      <c r="AO162" s="12" t="s">
        <v>166</v>
      </c>
      <c r="AP162" s="12" t="s">
        <v>167</v>
      </c>
      <c r="AQ162" s="42" t="s">
        <v>168</v>
      </c>
      <c r="AR162" s="12" t="s">
        <v>195</v>
      </c>
      <c r="AS162" s="12" t="s">
        <v>196</v>
      </c>
      <c r="AT162" s="12" t="s">
        <v>197</v>
      </c>
      <c r="AU162" s="12" t="s">
        <v>198</v>
      </c>
      <c r="AV162" s="42" t="s">
        <v>199</v>
      </c>
    </row>
    <row r="163" spans="2:48" outlineLevel="1" x14ac:dyDescent="0.3">
      <c r="B163" s="435" t="s">
        <v>65</v>
      </c>
      <c r="C163" s="436"/>
      <c r="D163" s="102">
        <f>-(22+5.3+0.6+20.9)</f>
        <v>-48.8</v>
      </c>
      <c r="E163" s="102">
        <v>-45.1</v>
      </c>
      <c r="F163" s="102">
        <v>-39.6</v>
      </c>
      <c r="G163" s="102">
        <f>-146.2+133.5</f>
        <v>-12.699999999999989</v>
      </c>
      <c r="H163" s="159">
        <f>SUM(D163:G163)</f>
        <v>-146.19999999999999</v>
      </c>
      <c r="I163" s="102">
        <v>-7.1</v>
      </c>
      <c r="J163" s="102">
        <v>0.1</v>
      </c>
      <c r="K163" s="105">
        <f>-K14</f>
        <v>-78.099999999999994</v>
      </c>
      <c r="L163" s="101">
        <v>-195.5</v>
      </c>
      <c r="M163" s="169"/>
      <c r="N163" s="101">
        <v>-72.2</v>
      </c>
      <c r="O163" s="101">
        <v>-23</v>
      </c>
      <c r="P163" s="101">
        <v>-19.8</v>
      </c>
      <c r="Q163" s="101">
        <v>-55.5</v>
      </c>
      <c r="R163" s="17"/>
      <c r="S163" s="16">
        <v>7.5</v>
      </c>
      <c r="T163" s="16">
        <v>-4.4000000000000004</v>
      </c>
      <c r="U163" s="16">
        <v>-14</v>
      </c>
      <c r="V163" s="33">
        <v>-50</v>
      </c>
      <c r="W163" s="17"/>
      <c r="X163" s="33">
        <v>-50</v>
      </c>
      <c r="Y163" s="33">
        <v>0</v>
      </c>
      <c r="Z163" s="33">
        <f t="shared" ref="Z163:AA163" si="622">Y163</f>
        <v>0</v>
      </c>
      <c r="AA163" s="33">
        <f t="shared" si="622"/>
        <v>0</v>
      </c>
      <c r="AB163" s="17"/>
      <c r="AC163" s="33">
        <f>AA163</f>
        <v>0</v>
      </c>
      <c r="AD163" s="33">
        <f t="shared" ref="AD163:AF163" si="623">AC163</f>
        <v>0</v>
      </c>
      <c r="AE163" s="33">
        <f t="shared" si="623"/>
        <v>0</v>
      </c>
      <c r="AF163" s="33">
        <f t="shared" si="623"/>
        <v>0</v>
      </c>
      <c r="AG163" s="17"/>
      <c r="AH163" s="33">
        <f>AF163</f>
        <v>0</v>
      </c>
      <c r="AI163" s="33">
        <f t="shared" ref="AI163:AK163" si="624">AH163</f>
        <v>0</v>
      </c>
      <c r="AJ163" s="33">
        <f t="shared" si="624"/>
        <v>0</v>
      </c>
      <c r="AK163" s="33">
        <f t="shared" si="624"/>
        <v>0</v>
      </c>
      <c r="AL163" s="17"/>
      <c r="AM163" s="33">
        <f>AK163</f>
        <v>0</v>
      </c>
      <c r="AN163" s="33">
        <f t="shared" ref="AN163:AP163" si="625">AM163</f>
        <v>0</v>
      </c>
      <c r="AO163" s="33">
        <f t="shared" si="625"/>
        <v>0</v>
      </c>
      <c r="AP163" s="33">
        <f t="shared" si="625"/>
        <v>0</v>
      </c>
      <c r="AQ163" s="17"/>
      <c r="AR163" s="33">
        <f>AP163</f>
        <v>0</v>
      </c>
      <c r="AS163" s="33">
        <f t="shared" ref="AS163:AU163" si="626">AR163</f>
        <v>0</v>
      </c>
      <c r="AT163" s="33">
        <f t="shared" si="626"/>
        <v>0</v>
      </c>
      <c r="AU163" s="33">
        <f t="shared" si="626"/>
        <v>0</v>
      </c>
      <c r="AV163" s="17"/>
    </row>
    <row r="164" spans="2:48" outlineLevel="1" x14ac:dyDescent="0.3">
      <c r="B164" s="200" t="s">
        <v>64</v>
      </c>
      <c r="C164" s="201"/>
      <c r="D164" s="102">
        <f>-(5.3+0.5)</f>
        <v>-5.8</v>
      </c>
      <c r="E164" s="102">
        <v>-4.3</v>
      </c>
      <c r="F164" s="102">
        <v>-2.2999999999999998</v>
      </c>
      <c r="G164" s="102">
        <v>-0.2</v>
      </c>
      <c r="H164" s="159">
        <f t="shared" ref="H164:H167" si="627">SUM(D164:G164)</f>
        <v>-12.599999999999998</v>
      </c>
      <c r="I164" s="102">
        <v>-5.6</v>
      </c>
      <c r="J164" s="102">
        <v>-6.8</v>
      </c>
      <c r="K164" s="105">
        <v>-35.04</v>
      </c>
      <c r="L164" s="101">
        <v>0</v>
      </c>
      <c r="M164" s="169"/>
      <c r="N164" s="101">
        <v>0</v>
      </c>
      <c r="O164" s="101">
        <v>0</v>
      </c>
      <c r="P164" s="101">
        <v>22.8</v>
      </c>
      <c r="Q164" s="101">
        <v>-0.1</v>
      </c>
      <c r="R164" s="17"/>
      <c r="S164" s="16"/>
      <c r="T164" s="16"/>
      <c r="U164" s="16"/>
      <c r="V164" s="33"/>
      <c r="W164" s="17"/>
      <c r="X164" s="33">
        <f t="shared" ref="X164:X167" si="628">V164</f>
        <v>0</v>
      </c>
      <c r="Y164" s="33"/>
      <c r="Z164" s="33"/>
      <c r="AA164" s="33"/>
      <c r="AB164" s="17"/>
      <c r="AC164" s="33">
        <f t="shared" ref="AC164:AC167" si="629">AA164</f>
        <v>0</v>
      </c>
      <c r="AD164" s="33"/>
      <c r="AE164" s="33"/>
      <c r="AF164" s="33"/>
      <c r="AG164" s="17"/>
      <c r="AH164" s="33">
        <f t="shared" ref="AH164:AH167" si="630">AF164</f>
        <v>0</v>
      </c>
      <c r="AI164" s="33"/>
      <c r="AJ164" s="33"/>
      <c r="AK164" s="33"/>
      <c r="AL164" s="17"/>
      <c r="AM164" s="33">
        <f t="shared" ref="AM164:AM167" si="631">AK164</f>
        <v>0</v>
      </c>
      <c r="AN164" s="33"/>
      <c r="AO164" s="33"/>
      <c r="AP164" s="33"/>
      <c r="AQ164" s="17"/>
      <c r="AR164" s="33">
        <f t="shared" ref="AR164:AR167" si="632">AP164</f>
        <v>0</v>
      </c>
      <c r="AS164" s="33"/>
      <c r="AT164" s="33"/>
      <c r="AU164" s="33"/>
      <c r="AV164" s="17"/>
    </row>
    <row r="165" spans="2:48" outlineLevel="1" x14ac:dyDescent="0.3">
      <c r="B165" s="435" t="s">
        <v>129</v>
      </c>
      <c r="C165" s="436"/>
      <c r="D165" s="102">
        <f>-(60.6-0.3)</f>
        <v>-60.300000000000004</v>
      </c>
      <c r="E165" s="102">
        <v>-68.2</v>
      </c>
      <c r="F165" s="102">
        <v>-69</v>
      </c>
      <c r="G165" s="102">
        <f>-262+197.5</f>
        <v>-64.5</v>
      </c>
      <c r="H165" s="159">
        <f>SUM(D165:G165)</f>
        <v>-262</v>
      </c>
      <c r="I165" s="102">
        <v>-58.9</v>
      </c>
      <c r="J165" s="102">
        <v>-60.1</v>
      </c>
      <c r="K165" s="105">
        <v>-60.54</v>
      </c>
      <c r="L165" s="101">
        <v>-64</v>
      </c>
      <c r="M165" s="169"/>
      <c r="N165" s="101">
        <v>-62.7</v>
      </c>
      <c r="O165" s="101">
        <v>-65.2</v>
      </c>
      <c r="P165" s="101">
        <v>-54.7</v>
      </c>
      <c r="Q165" s="101">
        <v>-59.6</v>
      </c>
      <c r="R165" s="17"/>
      <c r="S165" s="16">
        <f>0.1-42.8</f>
        <v>-42.699999999999996</v>
      </c>
      <c r="T165" s="16">
        <v>-43.1</v>
      </c>
      <c r="U165" s="16">
        <v>-63.5</v>
      </c>
      <c r="V165" s="33">
        <v>-64</v>
      </c>
      <c r="W165" s="17"/>
      <c r="X165" s="33">
        <f t="shared" si="628"/>
        <v>-64</v>
      </c>
      <c r="Y165" s="33">
        <f t="shared" ref="Y165:AA165" si="633">X165</f>
        <v>-64</v>
      </c>
      <c r="Z165" s="33">
        <f t="shared" si="633"/>
        <v>-64</v>
      </c>
      <c r="AA165" s="33">
        <f t="shared" si="633"/>
        <v>-64</v>
      </c>
      <c r="AB165" s="17"/>
      <c r="AC165" s="33">
        <f t="shared" si="629"/>
        <v>-64</v>
      </c>
      <c r="AD165" s="33">
        <f t="shared" ref="AD165:AF165" si="634">AC165</f>
        <v>-64</v>
      </c>
      <c r="AE165" s="33">
        <f t="shared" si="634"/>
        <v>-64</v>
      </c>
      <c r="AF165" s="33">
        <f t="shared" si="634"/>
        <v>-64</v>
      </c>
      <c r="AG165" s="17"/>
      <c r="AH165" s="33">
        <f t="shared" si="630"/>
        <v>-64</v>
      </c>
      <c r="AI165" s="33">
        <f t="shared" ref="AI165:AK165" si="635">AH165</f>
        <v>-64</v>
      </c>
      <c r="AJ165" s="33">
        <f t="shared" si="635"/>
        <v>-64</v>
      </c>
      <c r="AK165" s="33">
        <f t="shared" si="635"/>
        <v>-64</v>
      </c>
      <c r="AL165" s="17"/>
      <c r="AM165" s="33">
        <f t="shared" si="631"/>
        <v>-64</v>
      </c>
      <c r="AN165" s="33">
        <f t="shared" ref="AN165:AP165" si="636">AM165</f>
        <v>-64</v>
      </c>
      <c r="AO165" s="33">
        <f t="shared" si="636"/>
        <v>-64</v>
      </c>
      <c r="AP165" s="33">
        <f t="shared" si="636"/>
        <v>-64</v>
      </c>
      <c r="AQ165" s="17"/>
      <c r="AR165" s="33">
        <f t="shared" si="632"/>
        <v>-64</v>
      </c>
      <c r="AS165" s="33">
        <f t="shared" ref="AS165:AU165" si="637">AR165</f>
        <v>-64</v>
      </c>
      <c r="AT165" s="33">
        <f t="shared" si="637"/>
        <v>-64</v>
      </c>
      <c r="AU165" s="33">
        <f t="shared" si="637"/>
        <v>-64</v>
      </c>
      <c r="AV165" s="17"/>
    </row>
    <row r="166" spans="2:48" outlineLevel="1" x14ac:dyDescent="0.3">
      <c r="B166" s="200" t="s">
        <v>66</v>
      </c>
      <c r="C166" s="201"/>
      <c r="D166" s="102">
        <v>-23.1</v>
      </c>
      <c r="E166" s="102">
        <v>-23.8</v>
      </c>
      <c r="F166" s="102">
        <v>-14.4</v>
      </c>
      <c r="G166" s="102">
        <v>0</v>
      </c>
      <c r="H166" s="159">
        <f t="shared" si="627"/>
        <v>-61.300000000000004</v>
      </c>
      <c r="I166" s="102"/>
      <c r="J166" s="102"/>
      <c r="K166" s="101"/>
      <c r="L166" s="101"/>
      <c r="M166" s="169"/>
      <c r="N166" s="101"/>
      <c r="O166" s="101"/>
      <c r="P166" s="101"/>
      <c r="Q166" s="101"/>
      <c r="R166" s="17"/>
      <c r="S166" s="16"/>
      <c r="T166" s="16"/>
      <c r="U166" s="16"/>
      <c r="V166" s="33"/>
      <c r="W166" s="17"/>
      <c r="X166" s="33">
        <f t="shared" si="628"/>
        <v>0</v>
      </c>
      <c r="Y166" s="33"/>
      <c r="Z166" s="33"/>
      <c r="AA166" s="33"/>
      <c r="AB166" s="17"/>
      <c r="AC166" s="33">
        <f t="shared" si="629"/>
        <v>0</v>
      </c>
      <c r="AD166" s="33"/>
      <c r="AE166" s="33"/>
      <c r="AF166" s="33"/>
      <c r="AG166" s="17"/>
      <c r="AH166" s="33">
        <f t="shared" si="630"/>
        <v>0</v>
      </c>
      <c r="AI166" s="33"/>
      <c r="AJ166" s="33"/>
      <c r="AK166" s="33"/>
      <c r="AL166" s="17"/>
      <c r="AM166" s="33">
        <f t="shared" si="631"/>
        <v>0</v>
      </c>
      <c r="AN166" s="33"/>
      <c r="AO166" s="33"/>
      <c r="AP166" s="33"/>
      <c r="AQ166" s="17"/>
      <c r="AR166" s="33">
        <f t="shared" si="632"/>
        <v>0</v>
      </c>
      <c r="AS166" s="33"/>
      <c r="AT166" s="33"/>
      <c r="AU166" s="33"/>
      <c r="AV166" s="17"/>
    </row>
    <row r="167" spans="2:48" ht="16.2" outlineLevel="1" x14ac:dyDescent="0.45">
      <c r="B167" s="200" t="s">
        <v>80</v>
      </c>
      <c r="C167" s="201"/>
      <c r="D167" s="138">
        <v>0</v>
      </c>
      <c r="E167" s="138">
        <v>0</v>
      </c>
      <c r="F167" s="138">
        <v>0</v>
      </c>
      <c r="G167" s="138">
        <v>0</v>
      </c>
      <c r="H167" s="160">
        <f t="shared" si="627"/>
        <v>0</v>
      </c>
      <c r="I167" s="138">
        <v>0</v>
      </c>
      <c r="J167" s="138">
        <v>0</v>
      </c>
      <c r="K167" s="112">
        <v>0</v>
      </c>
      <c r="L167" s="112">
        <v>0</v>
      </c>
      <c r="M167" s="169"/>
      <c r="N167" s="112">
        <v>0</v>
      </c>
      <c r="O167" s="112">
        <v>0</v>
      </c>
      <c r="P167" s="112">
        <v>0</v>
      </c>
      <c r="Q167" s="112">
        <v>0</v>
      </c>
      <c r="R167" s="17"/>
      <c r="S167" s="112">
        <v>0</v>
      </c>
      <c r="T167" s="112">
        <v>0</v>
      </c>
      <c r="U167" s="112">
        <v>0</v>
      </c>
      <c r="V167" s="32">
        <v>0</v>
      </c>
      <c r="W167" s="17"/>
      <c r="X167" s="32">
        <f t="shared" si="628"/>
        <v>0</v>
      </c>
      <c r="Y167" s="32">
        <v>0</v>
      </c>
      <c r="Z167" s="32">
        <v>0</v>
      </c>
      <c r="AA167" s="32">
        <v>0</v>
      </c>
      <c r="AB167" s="17"/>
      <c r="AC167" s="32">
        <f t="shared" si="629"/>
        <v>0</v>
      </c>
      <c r="AD167" s="32">
        <v>0</v>
      </c>
      <c r="AE167" s="32">
        <v>0</v>
      </c>
      <c r="AF167" s="32">
        <v>0</v>
      </c>
      <c r="AG167" s="17"/>
      <c r="AH167" s="32">
        <f t="shared" si="630"/>
        <v>0</v>
      </c>
      <c r="AI167" s="32">
        <v>0</v>
      </c>
      <c r="AJ167" s="32">
        <v>0</v>
      </c>
      <c r="AK167" s="32">
        <v>0</v>
      </c>
      <c r="AL167" s="17"/>
      <c r="AM167" s="32">
        <f t="shared" si="631"/>
        <v>0</v>
      </c>
      <c r="AN167" s="32">
        <v>0</v>
      </c>
      <c r="AO167" s="32">
        <v>0</v>
      </c>
      <c r="AP167" s="32">
        <v>0</v>
      </c>
      <c r="AQ167" s="17"/>
      <c r="AR167" s="32">
        <f t="shared" si="632"/>
        <v>0</v>
      </c>
      <c r="AS167" s="32">
        <v>0</v>
      </c>
      <c r="AT167" s="32">
        <v>0</v>
      </c>
      <c r="AU167" s="32">
        <v>0</v>
      </c>
      <c r="AV167" s="17"/>
    </row>
    <row r="168" spans="2:48" s="8" customFormat="1" outlineLevel="1" x14ac:dyDescent="0.3">
      <c r="B168" s="205" t="s">
        <v>67</v>
      </c>
      <c r="C168" s="202"/>
      <c r="D168" s="103">
        <f t="shared" ref="D168:L168" si="638">SUM(D163:D167)</f>
        <v>-138</v>
      </c>
      <c r="E168" s="103">
        <f t="shared" si="638"/>
        <v>-141.4</v>
      </c>
      <c r="F168" s="103">
        <f t="shared" si="638"/>
        <v>-125.30000000000001</v>
      </c>
      <c r="G168" s="103">
        <f t="shared" si="638"/>
        <v>-77.399999999999991</v>
      </c>
      <c r="H168" s="171">
        <f t="shared" si="638"/>
        <v>-482.09999999999997</v>
      </c>
      <c r="I168" s="103">
        <f t="shared" si="638"/>
        <v>-71.599999999999994</v>
      </c>
      <c r="J168" s="103">
        <f t="shared" si="638"/>
        <v>-66.8</v>
      </c>
      <c r="K168" s="103">
        <f t="shared" si="638"/>
        <v>-173.67999999999998</v>
      </c>
      <c r="L168" s="103">
        <f t="shared" si="638"/>
        <v>-259.5</v>
      </c>
      <c r="M168" s="150"/>
      <c r="N168" s="103">
        <f>SUM(N163:N167)</f>
        <v>-134.9</v>
      </c>
      <c r="O168" s="103">
        <f>SUM(O163:O167)</f>
        <v>-88.2</v>
      </c>
      <c r="P168" s="103">
        <f>SUM(P163:P167)</f>
        <v>-51.7</v>
      </c>
      <c r="Q168" s="103">
        <f>SUM(Q163:Q167)</f>
        <v>-115.2</v>
      </c>
      <c r="R168" s="22"/>
      <c r="S168" s="103">
        <f>SUM(S163:S167)</f>
        <v>-35.199999999999996</v>
      </c>
      <c r="T168" s="50">
        <f>SUM(T163:T167)</f>
        <v>-47.5</v>
      </c>
      <c r="U168" s="50">
        <f>SUM(U163:U167)</f>
        <v>-77.5</v>
      </c>
      <c r="V168" s="50">
        <f>SUM(V163:V167)</f>
        <v>-114</v>
      </c>
      <c r="W168" s="22"/>
      <c r="X168" s="50">
        <f>SUM(X163:X167)</f>
        <v>-114</v>
      </c>
      <c r="Y168" s="50">
        <f>SUM(Y163:Y167)</f>
        <v>-64</v>
      </c>
      <c r="Z168" s="50">
        <f>SUM(Z163:Z167)</f>
        <v>-64</v>
      </c>
      <c r="AA168" s="50">
        <f>SUM(AA163:AA167)</f>
        <v>-64</v>
      </c>
      <c r="AB168" s="22"/>
      <c r="AC168" s="50">
        <f>SUM(AC163:AC167)</f>
        <v>-64</v>
      </c>
      <c r="AD168" s="50">
        <f>SUM(AD163:AD167)</f>
        <v>-64</v>
      </c>
      <c r="AE168" s="50">
        <f>SUM(AE163:AE167)</f>
        <v>-64</v>
      </c>
      <c r="AF168" s="50">
        <f>SUM(AF163:AF167)</f>
        <v>-64</v>
      </c>
      <c r="AG168" s="22"/>
      <c r="AH168" s="50">
        <f>SUM(AH163:AH167)</f>
        <v>-64</v>
      </c>
      <c r="AI168" s="50">
        <f>SUM(AI163:AI167)</f>
        <v>-64</v>
      </c>
      <c r="AJ168" s="50">
        <f>SUM(AJ163:AJ167)</f>
        <v>-64</v>
      </c>
      <c r="AK168" s="50">
        <f>SUM(AK163:AK167)</f>
        <v>-64</v>
      </c>
      <c r="AL168" s="22"/>
      <c r="AM168" s="50">
        <f>SUM(AM163:AM167)</f>
        <v>-64</v>
      </c>
      <c r="AN168" s="50">
        <f>SUM(AN163:AN167)</f>
        <v>-64</v>
      </c>
      <c r="AO168" s="50">
        <f>SUM(AO163:AO167)</f>
        <v>-64</v>
      </c>
      <c r="AP168" s="50">
        <f>SUM(AP163:AP167)</f>
        <v>-64</v>
      </c>
      <c r="AQ168" s="22"/>
      <c r="AR168" s="50">
        <f>SUM(AR163:AR167)</f>
        <v>-64</v>
      </c>
      <c r="AS168" s="50">
        <f>SUM(AS163:AS167)</f>
        <v>-64</v>
      </c>
      <c r="AT168" s="50">
        <f>SUM(AT163:AT167)</f>
        <v>-64</v>
      </c>
      <c r="AU168" s="50">
        <f>SUM(AU163:AU167)</f>
        <v>-64</v>
      </c>
      <c r="AV168" s="22"/>
    </row>
    <row r="169" spans="2:48" ht="16.2" outlineLevel="1" x14ac:dyDescent="0.45">
      <c r="B169" s="200" t="s">
        <v>155</v>
      </c>
      <c r="C169" s="201"/>
      <c r="D169" s="104">
        <v>0</v>
      </c>
      <c r="E169" s="104">
        <v>0</v>
      </c>
      <c r="F169" s="104">
        <v>0</v>
      </c>
      <c r="G169" s="104">
        <v>0</v>
      </c>
      <c r="H169" s="169"/>
      <c r="I169" s="104">
        <v>0</v>
      </c>
      <c r="J169" s="104">
        <v>0</v>
      </c>
      <c r="K169" s="104">
        <v>0</v>
      </c>
      <c r="L169" s="104">
        <v>0</v>
      </c>
      <c r="M169" s="169"/>
      <c r="N169" s="104">
        <v>0</v>
      </c>
      <c r="O169" s="104">
        <v>0</v>
      </c>
      <c r="P169" s="104">
        <v>0</v>
      </c>
      <c r="Q169" s="104">
        <v>0</v>
      </c>
      <c r="R169" s="17"/>
      <c r="S169" s="104">
        <v>0</v>
      </c>
      <c r="T169" s="52">
        <v>0</v>
      </c>
      <c r="U169" s="52">
        <v>0</v>
      </c>
      <c r="V169" s="52">
        <v>0</v>
      </c>
      <c r="W169" s="17"/>
      <c r="X169" s="52">
        <v>0</v>
      </c>
      <c r="Y169" s="52">
        <v>0</v>
      </c>
      <c r="Z169" s="52">
        <v>0</v>
      </c>
      <c r="AA169" s="52">
        <v>0</v>
      </c>
      <c r="AB169" s="17"/>
      <c r="AC169" s="52">
        <v>0</v>
      </c>
      <c r="AD169" s="52">
        <v>0</v>
      </c>
      <c r="AE169" s="52">
        <v>0</v>
      </c>
      <c r="AF169" s="52">
        <v>0</v>
      </c>
      <c r="AG169" s="17"/>
      <c r="AH169" s="52">
        <v>0</v>
      </c>
      <c r="AI169" s="52">
        <v>0</v>
      </c>
      <c r="AJ169" s="52">
        <v>0</v>
      </c>
      <c r="AK169" s="52">
        <v>0</v>
      </c>
      <c r="AL169" s="17"/>
      <c r="AM169" s="52">
        <v>0</v>
      </c>
      <c r="AN169" s="52">
        <v>0</v>
      </c>
      <c r="AO169" s="52">
        <v>0</v>
      </c>
      <c r="AP169" s="52">
        <v>0</v>
      </c>
      <c r="AQ169" s="17"/>
      <c r="AR169" s="52">
        <v>0</v>
      </c>
      <c r="AS169" s="52">
        <v>0</v>
      </c>
      <c r="AT169" s="52">
        <v>0</v>
      </c>
      <c r="AU169" s="52">
        <v>0</v>
      </c>
      <c r="AV169" s="17"/>
    </row>
    <row r="170" spans="2:48" s="8" customFormat="1" outlineLevel="1" x14ac:dyDescent="0.3">
      <c r="B170" s="205" t="s">
        <v>68</v>
      </c>
      <c r="C170" s="202"/>
      <c r="D170" s="103">
        <f t="shared" ref="D170:G170" si="639">-D168+D169</f>
        <v>138</v>
      </c>
      <c r="E170" s="103">
        <f t="shared" si="639"/>
        <v>141.4</v>
      </c>
      <c r="F170" s="103">
        <f t="shared" si="639"/>
        <v>125.30000000000001</v>
      </c>
      <c r="G170" s="103">
        <f t="shared" si="639"/>
        <v>77.399999999999991</v>
      </c>
      <c r="H170" s="150"/>
      <c r="I170" s="103">
        <f t="shared" ref="I170:L170" si="640">-I168+I169</f>
        <v>71.599999999999994</v>
      </c>
      <c r="J170" s="103">
        <f t="shared" si="640"/>
        <v>66.8</v>
      </c>
      <c r="K170" s="103">
        <f t="shared" si="640"/>
        <v>173.67999999999998</v>
      </c>
      <c r="L170" s="103">
        <f t="shared" si="640"/>
        <v>259.5</v>
      </c>
      <c r="M170" s="150"/>
      <c r="N170" s="103">
        <f t="shared" ref="N170:P170" si="641">-N168+N169</f>
        <v>134.9</v>
      </c>
      <c r="O170" s="103">
        <f t="shared" si="641"/>
        <v>88.2</v>
      </c>
      <c r="P170" s="103">
        <f t="shared" si="641"/>
        <v>51.7</v>
      </c>
      <c r="Q170" s="103">
        <f>-Q168+Q169</f>
        <v>115.2</v>
      </c>
      <c r="R170" s="22"/>
      <c r="S170" s="103">
        <f t="shared" ref="S170:V170" si="642">-S168+S169</f>
        <v>35.199999999999996</v>
      </c>
      <c r="T170" s="50">
        <f t="shared" si="642"/>
        <v>47.5</v>
      </c>
      <c r="U170" s="50">
        <f t="shared" si="642"/>
        <v>77.5</v>
      </c>
      <c r="V170" s="50">
        <f t="shared" si="642"/>
        <v>114</v>
      </c>
      <c r="W170" s="22"/>
      <c r="X170" s="50">
        <f t="shared" ref="X170:AA170" si="643">-X168+X169</f>
        <v>114</v>
      </c>
      <c r="Y170" s="50">
        <f t="shared" si="643"/>
        <v>64</v>
      </c>
      <c r="Z170" s="50">
        <f t="shared" si="643"/>
        <v>64</v>
      </c>
      <c r="AA170" s="50">
        <f t="shared" si="643"/>
        <v>64</v>
      </c>
      <c r="AB170" s="22"/>
      <c r="AC170" s="50">
        <f t="shared" ref="AC170:AF170" si="644">-AC168+AC169</f>
        <v>64</v>
      </c>
      <c r="AD170" s="50">
        <f t="shared" si="644"/>
        <v>64</v>
      </c>
      <c r="AE170" s="50">
        <f t="shared" si="644"/>
        <v>64</v>
      </c>
      <c r="AF170" s="50">
        <f t="shared" si="644"/>
        <v>64</v>
      </c>
      <c r="AG170" s="22"/>
      <c r="AH170" s="50">
        <f t="shared" ref="AH170:AK170" si="645">-AH168+AH169</f>
        <v>64</v>
      </c>
      <c r="AI170" s="50">
        <f t="shared" si="645"/>
        <v>64</v>
      </c>
      <c r="AJ170" s="50">
        <f t="shared" si="645"/>
        <v>64</v>
      </c>
      <c r="AK170" s="50">
        <f t="shared" si="645"/>
        <v>64</v>
      </c>
      <c r="AL170" s="22"/>
      <c r="AM170" s="50">
        <f t="shared" ref="AM170:AP170" si="646">-AM168+AM169</f>
        <v>64</v>
      </c>
      <c r="AN170" s="50">
        <f t="shared" si="646"/>
        <v>64</v>
      </c>
      <c r="AO170" s="50">
        <f t="shared" si="646"/>
        <v>64</v>
      </c>
      <c r="AP170" s="50">
        <f t="shared" si="646"/>
        <v>64</v>
      </c>
      <c r="AQ170" s="22"/>
      <c r="AR170" s="50">
        <f t="shared" ref="AR170:AU170" si="647">-AR168+AR169</f>
        <v>64</v>
      </c>
      <c r="AS170" s="50">
        <f t="shared" si="647"/>
        <v>64</v>
      </c>
      <c r="AT170" s="50">
        <f t="shared" si="647"/>
        <v>64</v>
      </c>
      <c r="AU170" s="50">
        <f t="shared" si="647"/>
        <v>64</v>
      </c>
      <c r="AV170" s="22"/>
    </row>
    <row r="171" spans="2:48" outlineLevel="1" x14ac:dyDescent="0.3">
      <c r="B171" s="200" t="s">
        <v>69</v>
      </c>
      <c r="C171" s="201"/>
      <c r="D171" s="105">
        <v>0</v>
      </c>
      <c r="E171" s="101">
        <f>-0.02*E31</f>
        <v>-25.014000000000003</v>
      </c>
      <c r="F171" s="101">
        <f>0.49*F31</f>
        <v>599.27</v>
      </c>
      <c r="G171" s="101">
        <v>0</v>
      </c>
      <c r="H171" s="169"/>
      <c r="I171" s="101">
        <v>0</v>
      </c>
      <c r="J171" s="101">
        <v>0</v>
      </c>
      <c r="K171" s="101">
        <v>0</v>
      </c>
      <c r="L171" s="101">
        <v>0</v>
      </c>
      <c r="M171" s="169"/>
      <c r="N171" s="101">
        <v>0</v>
      </c>
      <c r="O171" s="101">
        <v>0</v>
      </c>
      <c r="P171" s="101">
        <v>0</v>
      </c>
      <c r="Q171" s="101">
        <f>0.73*Q31</f>
        <v>867.16700000000003</v>
      </c>
      <c r="R171" s="17"/>
      <c r="S171" s="101">
        <v>0</v>
      </c>
      <c r="T171" s="101">
        <f>0.03*T31</f>
        <v>34.617000000000004</v>
      </c>
      <c r="U171" s="101">
        <v>0</v>
      </c>
      <c r="V171" s="33">
        <v>0</v>
      </c>
      <c r="W171" s="17"/>
      <c r="X171" s="33">
        <v>0</v>
      </c>
      <c r="Y171" s="33">
        <v>0</v>
      </c>
      <c r="Z171" s="33">
        <v>0</v>
      </c>
      <c r="AA171" s="33">
        <v>0</v>
      </c>
      <c r="AB171" s="17"/>
      <c r="AC171" s="33">
        <v>0</v>
      </c>
      <c r="AD171" s="33">
        <v>0</v>
      </c>
      <c r="AE171" s="33">
        <v>0</v>
      </c>
      <c r="AF171" s="33">
        <v>0</v>
      </c>
      <c r="AG171" s="17"/>
      <c r="AH171" s="33">
        <v>0</v>
      </c>
      <c r="AI171" s="33">
        <v>0</v>
      </c>
      <c r="AJ171" s="33">
        <v>0</v>
      </c>
      <c r="AK171" s="33">
        <v>0</v>
      </c>
      <c r="AL171" s="17"/>
      <c r="AM171" s="33">
        <v>0</v>
      </c>
      <c r="AN171" s="33">
        <v>0</v>
      </c>
      <c r="AO171" s="33">
        <v>0</v>
      </c>
      <c r="AP171" s="33">
        <v>0</v>
      </c>
      <c r="AQ171" s="17"/>
      <c r="AR171" s="33">
        <v>0</v>
      </c>
      <c r="AS171" s="33">
        <v>0</v>
      </c>
      <c r="AT171" s="33">
        <v>0</v>
      </c>
      <c r="AU171" s="33">
        <v>0</v>
      </c>
      <c r="AV171" s="17"/>
    </row>
    <row r="172" spans="2:48" outlineLevel="1" x14ac:dyDescent="0.3">
      <c r="B172" s="435" t="s">
        <v>75</v>
      </c>
      <c r="C172" s="436"/>
      <c r="D172" s="105">
        <v>-41.449999999998646</v>
      </c>
      <c r="E172" s="101">
        <v>79.193999999999548</v>
      </c>
      <c r="F172" s="101">
        <v>-55.109999999999197</v>
      </c>
      <c r="G172" s="101">
        <v>30</v>
      </c>
      <c r="H172" s="169"/>
      <c r="I172" s="101">
        <v>11</v>
      </c>
      <c r="J172" s="101">
        <v>23</v>
      </c>
      <c r="K172" s="101">
        <f>0.03*K31</f>
        <v>35.055</v>
      </c>
      <c r="L172" s="101">
        <v>50.810000000000372</v>
      </c>
      <c r="M172" s="169"/>
      <c r="N172" s="101">
        <f>0.03*N31</f>
        <v>35.49</v>
      </c>
      <c r="O172" s="101">
        <f>0.01*O31</f>
        <v>11.847999999999999</v>
      </c>
      <c r="P172" s="101">
        <f>0.01*P31</f>
        <v>11.862</v>
      </c>
      <c r="Q172" s="101">
        <f>-0.144*Q31</f>
        <v>-171.05760000000001</v>
      </c>
      <c r="R172" s="17"/>
      <c r="S172" s="101">
        <v>3.9480000000003299</v>
      </c>
      <c r="T172" s="16">
        <f>0.01*T31</f>
        <v>11.539000000000001</v>
      </c>
      <c r="U172" s="16">
        <f>0.02*U31</f>
        <v>23.02</v>
      </c>
      <c r="V172" s="16">
        <f t="shared" ref="V172" si="648">+V170*V173</f>
        <v>33.861677419354834</v>
      </c>
      <c r="W172" s="17"/>
      <c r="X172" s="16">
        <f>+X170*X173</f>
        <v>33.861677419354834</v>
      </c>
      <c r="Y172" s="16">
        <f>+Y170*Y173</f>
        <v>19.010064516129031</v>
      </c>
      <c r="Z172" s="16">
        <f t="shared" ref="Z172:AA172" si="649">+Z170*Z173</f>
        <v>19.010064516129031</v>
      </c>
      <c r="AA172" s="16">
        <f t="shared" si="649"/>
        <v>19.010064516129031</v>
      </c>
      <c r="AB172" s="17"/>
      <c r="AC172" s="16">
        <f>+AC170*AC173</f>
        <v>19.010064516129031</v>
      </c>
      <c r="AD172" s="16">
        <f>+AD170*AD173</f>
        <v>19.010064516129031</v>
      </c>
      <c r="AE172" s="16">
        <f t="shared" ref="AE172:AF172" si="650">+AE170*AE173</f>
        <v>19.010064516129031</v>
      </c>
      <c r="AF172" s="16">
        <f t="shared" si="650"/>
        <v>19.010064516129031</v>
      </c>
      <c r="AG172" s="17"/>
      <c r="AH172" s="16">
        <f>+AH170*AH173</f>
        <v>19.010064516129031</v>
      </c>
      <c r="AI172" s="16">
        <f>+AI170*AI173</f>
        <v>19.010064516129031</v>
      </c>
      <c r="AJ172" s="16">
        <f t="shared" ref="AJ172:AK172" si="651">+AJ170*AJ173</f>
        <v>19.010064516129031</v>
      </c>
      <c r="AK172" s="16">
        <f t="shared" si="651"/>
        <v>19.010064516129031</v>
      </c>
      <c r="AL172" s="17"/>
      <c r="AM172" s="16">
        <f>+AM170*AM173</f>
        <v>19.010064516129031</v>
      </c>
      <c r="AN172" s="16">
        <f>+AN170*AN173</f>
        <v>19.010064516129031</v>
      </c>
      <c r="AO172" s="16">
        <f t="shared" ref="AO172:AP172" si="652">+AO170*AO173</f>
        <v>19.010064516129031</v>
      </c>
      <c r="AP172" s="16">
        <f t="shared" si="652"/>
        <v>19.010064516129031</v>
      </c>
      <c r="AQ172" s="17"/>
      <c r="AR172" s="16">
        <f>+AR170*AR173</f>
        <v>19.010064516129031</v>
      </c>
      <c r="AS172" s="16">
        <f>+AS170*AS173</f>
        <v>19.010064516129031</v>
      </c>
      <c r="AT172" s="16">
        <f t="shared" ref="AT172:AU172" si="653">+AT170*AT173</f>
        <v>19.010064516129031</v>
      </c>
      <c r="AU172" s="16">
        <f t="shared" si="653"/>
        <v>19.010064516129031</v>
      </c>
      <c r="AV172" s="17"/>
    </row>
    <row r="173" spans="2:48" outlineLevel="1" x14ac:dyDescent="0.3">
      <c r="B173" s="203" t="s">
        <v>76</v>
      </c>
      <c r="C173" s="204"/>
      <c r="D173" s="211">
        <f t="shared" ref="D173:G173" si="654">D172/D170</f>
        <v>-0.30036231884056991</v>
      </c>
      <c r="E173" s="211">
        <f t="shared" si="654"/>
        <v>0.56007072135784686</v>
      </c>
      <c r="F173" s="211">
        <f t="shared" si="654"/>
        <v>-0.43982442138866074</v>
      </c>
      <c r="G173" s="211">
        <f t="shared" si="654"/>
        <v>0.38759689922480622</v>
      </c>
      <c r="H173" s="212"/>
      <c r="I173" s="211">
        <f t="shared" ref="I173:U173" si="655">I172/I170</f>
        <v>0.15363128491620112</v>
      </c>
      <c r="J173" s="211">
        <f t="shared" si="655"/>
        <v>0.34431137724550898</v>
      </c>
      <c r="K173" s="211">
        <f t="shared" si="655"/>
        <v>0.20183671119299865</v>
      </c>
      <c r="L173" s="211">
        <f t="shared" si="655"/>
        <v>0.1957996146435467</v>
      </c>
      <c r="M173" s="212"/>
      <c r="N173" s="211">
        <f t="shared" si="655"/>
        <v>0.26308376575240922</v>
      </c>
      <c r="O173" s="211">
        <f t="shared" si="655"/>
        <v>0.13433106575963719</v>
      </c>
      <c r="P173" s="211">
        <f t="shared" si="655"/>
        <v>0.22943907156673113</v>
      </c>
      <c r="Q173" s="211">
        <f t="shared" si="655"/>
        <v>-1.4848749999999999</v>
      </c>
      <c r="R173" s="37"/>
      <c r="S173" s="211">
        <f t="shared" si="655"/>
        <v>0.1121590909091003</v>
      </c>
      <c r="T173" s="211">
        <f t="shared" si="655"/>
        <v>0.24292631578947371</v>
      </c>
      <c r="U173" s="211">
        <f t="shared" si="655"/>
        <v>0.29703225806451611</v>
      </c>
      <c r="V173" s="94">
        <f>U173</f>
        <v>0.29703225806451611</v>
      </c>
      <c r="W173" s="37"/>
      <c r="X173" s="94">
        <f>V173</f>
        <v>0.29703225806451611</v>
      </c>
      <c r="Y173" s="94">
        <f>X173</f>
        <v>0.29703225806451611</v>
      </c>
      <c r="Z173" s="94">
        <f>Y173</f>
        <v>0.29703225806451611</v>
      </c>
      <c r="AA173" s="94">
        <f>Z173</f>
        <v>0.29703225806451611</v>
      </c>
      <c r="AB173" s="37"/>
      <c r="AC173" s="94">
        <f>AA173</f>
        <v>0.29703225806451611</v>
      </c>
      <c r="AD173" s="94">
        <f>AC173</f>
        <v>0.29703225806451611</v>
      </c>
      <c r="AE173" s="94">
        <f>AD173</f>
        <v>0.29703225806451611</v>
      </c>
      <c r="AF173" s="94">
        <f>AE173</f>
        <v>0.29703225806451611</v>
      </c>
      <c r="AG173" s="37"/>
      <c r="AH173" s="94">
        <f>AF173</f>
        <v>0.29703225806451611</v>
      </c>
      <c r="AI173" s="94">
        <f>AH173</f>
        <v>0.29703225806451611</v>
      </c>
      <c r="AJ173" s="94">
        <f>AI173</f>
        <v>0.29703225806451611</v>
      </c>
      <c r="AK173" s="94">
        <f>AJ173</f>
        <v>0.29703225806451611</v>
      </c>
      <c r="AL173" s="37"/>
      <c r="AM173" s="94">
        <f>AK173</f>
        <v>0.29703225806451611</v>
      </c>
      <c r="AN173" s="94">
        <f>AM173</f>
        <v>0.29703225806451611</v>
      </c>
      <c r="AO173" s="94">
        <f>AN173</f>
        <v>0.29703225806451611</v>
      </c>
      <c r="AP173" s="94">
        <f>AO173</f>
        <v>0.29703225806451611</v>
      </c>
      <c r="AQ173" s="37"/>
      <c r="AR173" s="94">
        <f>AP173</f>
        <v>0.29703225806451611</v>
      </c>
      <c r="AS173" s="94">
        <f>AR173</f>
        <v>0.29703225806451611</v>
      </c>
      <c r="AT173" s="94">
        <f>AS173</f>
        <v>0.29703225806451611</v>
      </c>
      <c r="AU173" s="94">
        <f>AT173</f>
        <v>0.29703225806451611</v>
      </c>
      <c r="AV173" s="37"/>
    </row>
    <row r="175" spans="2:48" x14ac:dyDescent="0.3">
      <c r="B175" s="382" t="s">
        <v>315</v>
      </c>
      <c r="Q175" s="383">
        <f>Q61-L61</f>
        <v>-6.6118692968142323E-4</v>
      </c>
      <c r="R175" s="383"/>
      <c r="S175" s="383">
        <f>S61-N61</f>
        <v>1.2901737440265071E-2</v>
      </c>
      <c r="T175" s="383">
        <f t="shared" ref="T175" si="656">T61-O61</f>
        <v>2.4025383293040548E-2</v>
      </c>
      <c r="U175" s="383">
        <f>U61-P61</f>
        <v>2.0536242149533701E-2</v>
      </c>
      <c r="V175" s="383">
        <f>V61-Q61</f>
        <v>1.2500000000000011E-2</v>
      </c>
      <c r="W175" s="383"/>
      <c r="X175" s="383">
        <f t="shared" ref="X175:AA175" si="657">X61-S61</f>
        <v>5.0000000000000044E-3</v>
      </c>
      <c r="Y175" s="383">
        <f t="shared" si="657"/>
        <v>2.5000000000000022E-3</v>
      </c>
      <c r="Z175" s="383">
        <f t="shared" si="657"/>
        <v>2.5000000000000022E-3</v>
      </c>
      <c r="AA175" s="383">
        <f t="shared" si="657"/>
        <v>-1.0000000000000009E-2</v>
      </c>
      <c r="AB175" s="383"/>
      <c r="AC175" s="383">
        <f t="shared" ref="AC175" si="658">AC61-X61</f>
        <v>-1.0000000000000009E-2</v>
      </c>
      <c r="AD175" s="383">
        <f t="shared" ref="AD175" si="659">AD61-Y61</f>
        <v>-1.0000000000000009E-3</v>
      </c>
      <c r="AE175" s="383">
        <f t="shared" ref="AE175" si="660">AE61-Z61</f>
        <v>-1.0000000000000009E-3</v>
      </c>
      <c r="AF175" s="383">
        <f t="shared" ref="AF175" si="661">AF61-AA61</f>
        <v>1.0000000000000009E-2</v>
      </c>
      <c r="AH175" s="383">
        <f t="shared" ref="AH175" si="662">AH61-AC61</f>
        <v>-1.0000000000000009E-3</v>
      </c>
      <c r="AI175" s="383">
        <f t="shared" ref="AI175" si="663">AI61-AD61</f>
        <v>-1.0000000000000009E-3</v>
      </c>
      <c r="AJ175" s="383">
        <f t="shared" ref="AJ175" si="664">AJ61-AE61</f>
        <v>-1.0000000000000009E-3</v>
      </c>
      <c r="AK175" s="383">
        <f t="shared" ref="AK175" si="665">AK61-AF61</f>
        <v>-1.0000000000000009E-3</v>
      </c>
    </row>
    <row r="176" spans="2:48" ht="14.55" customHeight="1" x14ac:dyDescent="0.3">
      <c r="B176" s="382" t="s">
        <v>316</v>
      </c>
      <c r="Q176" s="383">
        <f t="shared" ref="Q176:T176" si="666">Q63-L63</f>
        <v>-4.2476929877535707E-2</v>
      </c>
      <c r="R176" s="383"/>
      <c r="S176" s="383">
        <f t="shared" si="666"/>
        <v>-4.2111802490401029E-3</v>
      </c>
      <c r="T176" s="383">
        <f t="shared" si="666"/>
        <v>1.5713963584189306E-2</v>
      </c>
      <c r="U176" s="383">
        <f>U63-P63</f>
        <v>8.2485911822535729E-3</v>
      </c>
      <c r="V176" s="383">
        <f>V63-Q63</f>
        <v>1.2499999999999956E-2</v>
      </c>
      <c r="W176" s="383"/>
      <c r="X176" s="383">
        <f t="shared" ref="X176:AA176" si="667">X63-S63</f>
        <v>5.0000000000000044E-3</v>
      </c>
      <c r="Y176" s="383">
        <f>Y63-T63</f>
        <v>2.4999999999999467E-3</v>
      </c>
      <c r="Z176" s="383">
        <f t="shared" si="667"/>
        <v>1.0000000000000009E-2</v>
      </c>
      <c r="AA176" s="383">
        <f t="shared" si="667"/>
        <v>0</v>
      </c>
      <c r="AB176" s="383"/>
      <c r="AC176" s="383">
        <f t="shared" ref="AC176" si="668">AC63-X63</f>
        <v>-1.0000000000000009E-2</v>
      </c>
      <c r="AD176" s="383">
        <f t="shared" ref="AD176" si="669">AD63-Y63</f>
        <v>-1.0000000000000009E-3</v>
      </c>
      <c r="AE176" s="383">
        <f t="shared" ref="AE176" si="670">AE63-Z63</f>
        <v>-1.0000000000000009E-3</v>
      </c>
      <c r="AF176" s="383">
        <f t="shared" ref="AF176" si="671">AF63-AA63</f>
        <v>1.0000000000000009E-2</v>
      </c>
      <c r="AH176" s="383">
        <f t="shared" ref="AH176" si="672">AH63-AC63</f>
        <v>-1.0000000000000009E-3</v>
      </c>
      <c r="AI176" s="383">
        <f t="shared" ref="AI176" si="673">AI63-AD63</f>
        <v>-1.0000000000000009E-3</v>
      </c>
      <c r="AJ176" s="383">
        <f t="shared" ref="AJ176" si="674">AJ63-AE63</f>
        <v>-1.0000000000000009E-3</v>
      </c>
      <c r="AK176" s="383">
        <f t="shared" ref="AK176" si="675">AK63-AF63</f>
        <v>-1.0000000000000009E-3</v>
      </c>
    </row>
    <row r="177" spans="1:47" ht="14.55" customHeight="1" x14ac:dyDescent="0.3">
      <c r="B177" s="382" t="s">
        <v>317</v>
      </c>
      <c r="Q177" s="383">
        <f t="shared" ref="Q177:T177" si="676">Q65-L65</f>
        <v>-8.1024370824473238E-4</v>
      </c>
      <c r="R177" s="383"/>
      <c r="S177" s="383">
        <f t="shared" si="676"/>
        <v>-6.9169487840035036E-4</v>
      </c>
      <c r="T177" s="383">
        <f t="shared" si="676"/>
        <v>-3.3352357784197616E-4</v>
      </c>
      <c r="U177" s="383">
        <f>U65-P65</f>
        <v>1.7928850972594532E-3</v>
      </c>
      <c r="V177" s="383">
        <f t="shared" ref="V177:AA177" si="677">V65-Q65</f>
        <v>7.9246920006940773E-4</v>
      </c>
      <c r="W177" s="383"/>
      <c r="X177" s="383">
        <f t="shared" si="677"/>
        <v>0</v>
      </c>
      <c r="Y177" s="383">
        <f t="shared" si="677"/>
        <v>0</v>
      </c>
      <c r="Z177" s="383">
        <f t="shared" si="677"/>
        <v>0</v>
      </c>
      <c r="AA177" s="383">
        <f t="shared" si="677"/>
        <v>0</v>
      </c>
      <c r="AB177" s="383"/>
      <c r="AC177" s="383">
        <f t="shared" ref="AC177" si="678">AC65-X65</f>
        <v>0</v>
      </c>
      <c r="AD177" s="383">
        <f t="shared" ref="AD177" si="679">AD65-Y65</f>
        <v>0</v>
      </c>
      <c r="AE177" s="383">
        <f t="shared" ref="AE177" si="680">AE65-Z65</f>
        <v>0</v>
      </c>
      <c r="AF177" s="383">
        <f t="shared" ref="AF177" si="681">AF65-AA65</f>
        <v>0</v>
      </c>
      <c r="AH177" s="383">
        <f t="shared" ref="AH177" si="682">AH65-AC65</f>
        <v>0</v>
      </c>
      <c r="AI177" s="383">
        <f t="shared" ref="AI177" si="683">AI65-AD65</f>
        <v>0</v>
      </c>
      <c r="AJ177" s="383">
        <f t="shared" ref="AJ177" si="684">AJ65-AE65</f>
        <v>0</v>
      </c>
      <c r="AK177" s="383">
        <f t="shared" ref="AK177" si="685">AK65-AF65</f>
        <v>0</v>
      </c>
    </row>
    <row r="178" spans="1:47" ht="14.55" customHeight="1" x14ac:dyDescent="0.3">
      <c r="A178" s="161"/>
      <c r="B178" s="382" t="s">
        <v>318</v>
      </c>
      <c r="Q178" s="383">
        <f t="shared" ref="Q178:T178" si="686">Q68-L68</f>
        <v>-1.8685768961161399E-3</v>
      </c>
      <c r="R178" s="383"/>
      <c r="S178" s="383">
        <f t="shared" si="686"/>
        <v>-1.673261995123904E-3</v>
      </c>
      <c r="T178" s="383">
        <f t="shared" si="686"/>
        <v>-3.5644778537942175E-3</v>
      </c>
      <c r="U178" s="383">
        <f>U68-P68</f>
        <v>-9.2770624793186637E-4</v>
      </c>
      <c r="V178" s="383">
        <f t="shared" ref="V178:AA178" si="687">V68-Q68</f>
        <v>1.2500000000000002E-2</v>
      </c>
      <c r="W178" s="383"/>
      <c r="X178" s="383">
        <f t="shared" si="687"/>
        <v>4.9999999999999992E-3</v>
      </c>
      <c r="Y178" s="383">
        <f t="shared" si="687"/>
        <v>2.5000000000000005E-3</v>
      </c>
      <c r="Z178" s="383">
        <f t="shared" si="687"/>
        <v>2.5000000000000005E-3</v>
      </c>
      <c r="AA178" s="383">
        <f t="shared" si="687"/>
        <v>-1.0000000000000002E-2</v>
      </c>
      <c r="AB178" s="383"/>
      <c r="AC178" s="383">
        <f t="shared" ref="AC178" si="688">AC68-X68</f>
        <v>-2.9999999999999992E-3</v>
      </c>
      <c r="AD178" s="383">
        <f t="shared" ref="AD178" si="689">AD68-Y68</f>
        <v>2.0000000000000018E-3</v>
      </c>
      <c r="AE178" s="383">
        <f t="shared" ref="AE178" si="690">AE68-Z68</f>
        <v>-9.9999999999999915E-4</v>
      </c>
      <c r="AF178" s="383">
        <f t="shared" ref="AF178" si="691">AF68-AA68</f>
        <v>-1.0000000000000009E-3</v>
      </c>
      <c r="AH178" s="383">
        <f t="shared" ref="AH178" si="692">AH68-AC68</f>
        <v>-1.0000000000000009E-3</v>
      </c>
      <c r="AI178" s="383">
        <f t="shared" ref="AI178" si="693">AI68-AD68</f>
        <v>-1.0000000000000009E-3</v>
      </c>
      <c r="AJ178" s="383">
        <f t="shared" ref="AJ178" si="694">AJ68-AE68</f>
        <v>-1.0000000000000009E-3</v>
      </c>
      <c r="AK178" s="383">
        <f t="shared" ref="AK178" si="695">AK68-AF68</f>
        <v>-1.0000000000000009E-3</v>
      </c>
    </row>
    <row r="179" spans="1:47" s="23" customFormat="1" ht="14.55" customHeight="1" x14ac:dyDescent="0.3">
      <c r="A179" s="161"/>
    </row>
    <row r="180" spans="1:47" s="23" customFormat="1" ht="14.55" customHeight="1" x14ac:dyDescent="0.3">
      <c r="A180" s="161"/>
      <c r="B180" s="382" t="s">
        <v>319</v>
      </c>
      <c r="Q180" s="384">
        <f t="shared" ref="Q180:U180" si="696">Q94-L94</f>
        <v>-1.0328853878240896E-3</v>
      </c>
      <c r="R180" s="384"/>
      <c r="S180" s="384">
        <f t="shared" si="696"/>
        <v>1.3694957380178618E-2</v>
      </c>
      <c r="T180" s="384">
        <f t="shared" si="696"/>
        <v>2.2223284472510374E-2</v>
      </c>
      <c r="U180" s="384">
        <f t="shared" si="696"/>
        <v>4.4737654429502782E-2</v>
      </c>
      <c r="V180" s="384">
        <f>V94-Q94</f>
        <v>2.9999999999999971E-2</v>
      </c>
      <c r="W180" s="384"/>
      <c r="X180" s="384">
        <f t="shared" ref="X180:AA180" si="697">X94-S94</f>
        <v>2.0000000000000018E-2</v>
      </c>
      <c r="Y180" s="384">
        <f t="shared" si="697"/>
        <v>-1.0000000000000009E-2</v>
      </c>
      <c r="Z180" s="384">
        <f t="shared" si="697"/>
        <v>-5.0000000000000044E-3</v>
      </c>
      <c r="AA180" s="384">
        <f t="shared" si="697"/>
        <v>-5.0000000000000044E-3</v>
      </c>
      <c r="AB180" s="384"/>
      <c r="AC180" s="384">
        <f t="shared" ref="AC180" si="698">AC94-X94</f>
        <v>-2.0000000000000018E-2</v>
      </c>
      <c r="AD180" s="384">
        <f t="shared" ref="AD180" si="699">AD94-Y94</f>
        <v>-2.0000000000000018E-2</v>
      </c>
      <c r="AE180" s="384">
        <f t="shared" ref="AE180" si="700">AE94-Z94</f>
        <v>0</v>
      </c>
      <c r="AF180" s="384">
        <f t="shared" ref="AF180" si="701">AF94-AA94</f>
        <v>0</v>
      </c>
      <c r="AG180" s="384"/>
      <c r="AH180" s="384">
        <f t="shared" ref="AH180" si="702">AH94-AC94</f>
        <v>-2.0000000000000018E-3</v>
      </c>
      <c r="AI180" s="384">
        <f t="shared" ref="AI180" si="703">AI94-AD94</f>
        <v>-2.0000000000000018E-3</v>
      </c>
      <c r="AJ180" s="384">
        <f t="shared" ref="AJ180" si="704">AJ94-AE94</f>
        <v>-1.0000000000000009E-2</v>
      </c>
      <c r="AK180" s="384">
        <f t="shared" ref="AK180" si="705">AK94-AF94</f>
        <v>-2.0000000000000018E-3</v>
      </c>
      <c r="AL180" s="384"/>
      <c r="AM180" s="384">
        <f t="shared" ref="AM180" si="706">AM94-AH94</f>
        <v>0</v>
      </c>
      <c r="AN180" s="384">
        <f t="shared" ref="AN180" si="707">AN94-AI94</f>
        <v>0</v>
      </c>
      <c r="AO180" s="384">
        <f t="shared" ref="AO180" si="708">AO94-AJ94</f>
        <v>0</v>
      </c>
      <c r="AP180" s="384">
        <f t="shared" ref="AP180" si="709">AP94-AK94</f>
        <v>0</v>
      </c>
      <c r="AQ180" s="384"/>
      <c r="AR180" s="384">
        <f t="shared" ref="AR180" si="710">AR94-AM94</f>
        <v>0</v>
      </c>
      <c r="AS180" s="384">
        <f t="shared" ref="AS180" si="711">AS94-AN94</f>
        <v>0</v>
      </c>
      <c r="AT180" s="384">
        <f t="shared" ref="AT180" si="712">AT94-AO94</f>
        <v>0</v>
      </c>
      <c r="AU180" s="384">
        <f t="shared" ref="AU180" si="713">AU94-AP94</f>
        <v>0</v>
      </c>
    </row>
    <row r="181" spans="1:47" ht="16.2" customHeight="1" x14ac:dyDescent="0.3">
      <c r="A181" s="161"/>
      <c r="B181" s="382" t="s">
        <v>320</v>
      </c>
      <c r="Q181" s="384">
        <f t="shared" ref="Q181:U181" si="714">Q96-L96</f>
        <v>-4.3229689278334871E-2</v>
      </c>
      <c r="R181" s="384"/>
      <c r="S181" s="384">
        <f t="shared" si="714"/>
        <v>2.6563781125539754E-2</v>
      </c>
      <c r="T181" s="384">
        <f t="shared" si="714"/>
        <v>6.6354626897605851E-2</v>
      </c>
      <c r="U181" s="384">
        <f t="shared" si="714"/>
        <v>0.11154167548484295</v>
      </c>
      <c r="V181" s="384">
        <f>V96-Q96</f>
        <v>4.9999999999999989E-2</v>
      </c>
      <c r="W181" s="384"/>
      <c r="X181" s="384">
        <f t="shared" ref="X181:AA181" si="715">X96-S96</f>
        <v>2.0000000000000018E-2</v>
      </c>
      <c r="Y181" s="384">
        <f t="shared" si="715"/>
        <v>-1.0000000000000009E-2</v>
      </c>
      <c r="Z181" s="384">
        <f t="shared" si="715"/>
        <v>-5.0000000000000044E-3</v>
      </c>
      <c r="AA181" s="384">
        <f t="shared" si="715"/>
        <v>-5.0000000000000044E-3</v>
      </c>
      <c r="AB181" s="384"/>
      <c r="AC181" s="384">
        <f t="shared" ref="AC181" si="716">AC96-X96</f>
        <v>0</v>
      </c>
      <c r="AD181" s="384">
        <f t="shared" ref="AD181" si="717">AD96-Y96</f>
        <v>-2.0000000000000018E-2</v>
      </c>
      <c r="AE181" s="384">
        <f t="shared" ref="AE181" si="718">AE96-Z96</f>
        <v>0</v>
      </c>
      <c r="AF181" s="384">
        <f t="shared" ref="AF181" si="719">AF96-AA96</f>
        <v>0</v>
      </c>
      <c r="AG181" s="384"/>
      <c r="AH181" s="384">
        <f t="shared" ref="AH181" si="720">AH96-AC96</f>
        <v>-2.0000000000000018E-3</v>
      </c>
      <c r="AI181" s="384">
        <f t="shared" ref="AI181" si="721">AI96-AD96</f>
        <v>-2.0000000000000018E-3</v>
      </c>
      <c r="AJ181" s="384">
        <f t="shared" ref="AJ181" si="722">AJ96-AE96</f>
        <v>-2.0000000000000018E-2</v>
      </c>
      <c r="AK181" s="384">
        <f t="shared" ref="AK181" si="723">AK96-AF96</f>
        <v>-2.0000000000000018E-3</v>
      </c>
      <c r="AL181" s="384"/>
      <c r="AM181" s="384">
        <f t="shared" ref="AM181" si="724">AM96-AH96</f>
        <v>0</v>
      </c>
      <c r="AN181" s="384">
        <f t="shared" ref="AN181" si="725">AN96-AI96</f>
        <v>0</v>
      </c>
      <c r="AO181" s="384">
        <f t="shared" ref="AO181" si="726">AO96-AJ96</f>
        <v>0</v>
      </c>
      <c r="AP181" s="384">
        <f t="shared" ref="AP181" si="727">AP96-AK96</f>
        <v>0</v>
      </c>
      <c r="AQ181" s="384"/>
      <c r="AR181" s="384">
        <f t="shared" ref="AR181" si="728">AR96-AM96</f>
        <v>0</v>
      </c>
      <c r="AS181" s="384">
        <f t="shared" ref="AS181" si="729">AS96-AN96</f>
        <v>0</v>
      </c>
      <c r="AT181" s="384">
        <f t="shared" ref="AT181" si="730">AT96-AO96</f>
        <v>0</v>
      </c>
      <c r="AU181" s="384">
        <f t="shared" ref="AU181" si="731">AU96-AP96</f>
        <v>0</v>
      </c>
    </row>
    <row r="182" spans="1:47" ht="14.55" customHeight="1" x14ac:dyDescent="0.3">
      <c r="A182" s="161"/>
      <c r="B182" s="382" t="s">
        <v>321</v>
      </c>
      <c r="Q182" s="384">
        <f t="shared" ref="Q182:U182" si="732">Q98-L98</f>
        <v>-5.6134797444197491E-3</v>
      </c>
      <c r="R182" s="384"/>
      <c r="S182" s="384">
        <f t="shared" si="732"/>
        <v>1.6279115038060621E-4</v>
      </c>
      <c r="T182" s="384">
        <f t="shared" si="732"/>
        <v>5.0139473649204631E-3</v>
      </c>
      <c r="U182" s="384">
        <f t="shared" si="732"/>
        <v>1.4893713799812251E-2</v>
      </c>
      <c r="V182" s="384">
        <f>V98-Q98</f>
        <v>0</v>
      </c>
      <c r="W182" s="384"/>
      <c r="X182" s="384">
        <f t="shared" ref="X182:AA182" si="733">X98-S98</f>
        <v>0</v>
      </c>
      <c r="Y182" s="384">
        <f t="shared" si="733"/>
        <v>0</v>
      </c>
      <c r="Z182" s="384">
        <f t="shared" si="733"/>
        <v>-4.9999999999999975E-3</v>
      </c>
      <c r="AA182" s="384">
        <f t="shared" si="733"/>
        <v>0</v>
      </c>
      <c r="AB182" s="384"/>
      <c r="AC182" s="384">
        <f t="shared" ref="AC182" si="734">AC98-X98</f>
        <v>0</v>
      </c>
      <c r="AD182" s="384">
        <f t="shared" ref="AD182" si="735">AD98-Y98</f>
        <v>0</v>
      </c>
      <c r="AE182" s="384">
        <f t="shared" ref="AE182" si="736">AE98-Z98</f>
        <v>-5.000000000000001E-3</v>
      </c>
      <c r="AF182" s="384">
        <f t="shared" ref="AF182" si="737">AF98-AA98</f>
        <v>0</v>
      </c>
      <c r="AG182" s="384"/>
      <c r="AH182" s="384">
        <f t="shared" ref="AH182" si="738">AH98-AC98</f>
        <v>-1.9999999999999983E-3</v>
      </c>
      <c r="AI182" s="384">
        <f t="shared" ref="AI182" si="739">AI98-AD98</f>
        <v>-2.0000000000000018E-3</v>
      </c>
      <c r="AJ182" s="384">
        <f t="shared" ref="AJ182" si="740">AJ98-AE98</f>
        <v>-6.0000000000000019E-3</v>
      </c>
      <c r="AK182" s="384">
        <f t="shared" ref="AK182" si="741">AK98-AF98</f>
        <v>-1.9999999999999983E-3</v>
      </c>
      <c r="AL182" s="384"/>
      <c r="AM182" s="384">
        <f t="shared" ref="AM182" si="742">AM98-AH98</f>
        <v>0</v>
      </c>
      <c r="AN182" s="384">
        <f t="shared" ref="AN182" si="743">AN98-AI98</f>
        <v>0</v>
      </c>
      <c r="AO182" s="384">
        <f t="shared" ref="AO182" si="744">AO98-AJ98</f>
        <v>0</v>
      </c>
      <c r="AP182" s="384">
        <f t="shared" ref="AP182" si="745">AP98-AK98</f>
        <v>0</v>
      </c>
      <c r="AQ182" s="384"/>
      <c r="AR182" s="384">
        <f t="shared" ref="AR182" si="746">AR98-AM98</f>
        <v>0</v>
      </c>
      <c r="AS182" s="384">
        <f t="shared" ref="AS182" si="747">AS98-AN98</f>
        <v>0</v>
      </c>
      <c r="AT182" s="384">
        <f t="shared" ref="AT182" si="748">AT98-AO98</f>
        <v>0</v>
      </c>
      <c r="AU182" s="384">
        <f t="shared" ref="AU182" si="749">AU98-AP98</f>
        <v>0</v>
      </c>
    </row>
    <row r="183" spans="1:47" ht="14.55" customHeight="1" x14ac:dyDescent="0.3">
      <c r="A183" s="161"/>
      <c r="B183" s="382" t="s">
        <v>322</v>
      </c>
      <c r="Q183" s="384">
        <f t="shared" ref="Q183:U183" si="750">Q101-L101</f>
        <v>-4.5175814670814843E-3</v>
      </c>
      <c r="R183" s="384"/>
      <c r="S183" s="384">
        <f t="shared" si="750"/>
        <v>-1.2605124458150846E-3</v>
      </c>
      <c r="T183" s="384">
        <f t="shared" si="750"/>
        <v>-2.780006809811171E-3</v>
      </c>
      <c r="U183" s="384">
        <f t="shared" si="750"/>
        <v>-4.0374511378418465E-3</v>
      </c>
      <c r="V183" s="384">
        <f>V101-Q101</f>
        <v>0</v>
      </c>
      <c r="W183" s="384"/>
      <c r="X183" s="384">
        <f t="shared" ref="X183:AA183" si="751">X101-S101</f>
        <v>0</v>
      </c>
      <c r="Y183" s="384">
        <f t="shared" si="751"/>
        <v>0</v>
      </c>
      <c r="Z183" s="384">
        <f t="shared" si="751"/>
        <v>-4.9999999999999975E-3</v>
      </c>
      <c r="AA183" s="384">
        <f t="shared" si="751"/>
        <v>-4.9999999999999975E-3</v>
      </c>
      <c r="AB183" s="384"/>
      <c r="AC183" s="384">
        <f t="shared" ref="AC183" si="752">AC101-X101</f>
        <v>-3.0000000000000027E-3</v>
      </c>
      <c r="AD183" s="384">
        <f t="shared" ref="AD183" si="753">AD101-Y101</f>
        <v>0</v>
      </c>
      <c r="AE183" s="384">
        <f t="shared" ref="AE183" si="754">AE101-Z101</f>
        <v>0</v>
      </c>
      <c r="AF183" s="384">
        <f t="shared" ref="AF183" si="755">AF101-AA101</f>
        <v>0</v>
      </c>
      <c r="AG183" s="384"/>
      <c r="AH183" s="384">
        <f t="shared" ref="AH183" si="756">AH101-AC101</f>
        <v>-2.0000000000000018E-3</v>
      </c>
      <c r="AI183" s="384">
        <f t="shared" ref="AI183" si="757">AI101-AD101</f>
        <v>-2.0000000000000018E-3</v>
      </c>
      <c r="AJ183" s="384">
        <f t="shared" ref="AJ183" si="758">AJ101-AE101</f>
        <v>-2.0000000000000018E-3</v>
      </c>
      <c r="AK183" s="384">
        <f t="shared" ref="AK183" si="759">AK101-AF101</f>
        <v>-2.0000000000000018E-3</v>
      </c>
      <c r="AL183" s="384"/>
      <c r="AM183" s="384">
        <f t="shared" ref="AM183" si="760">AM101-AH101</f>
        <v>0</v>
      </c>
      <c r="AN183" s="384">
        <f t="shared" ref="AN183" si="761">AN101-AI101</f>
        <v>0</v>
      </c>
      <c r="AO183" s="384">
        <f t="shared" ref="AO183" si="762">AO101-AJ101</f>
        <v>0</v>
      </c>
      <c r="AP183" s="384">
        <f t="shared" ref="AP183" si="763">AP101-AK101</f>
        <v>0</v>
      </c>
      <c r="AQ183" s="384"/>
      <c r="AR183" s="384">
        <f t="shared" ref="AR183" si="764">AR101-AM101</f>
        <v>0</v>
      </c>
      <c r="AS183" s="384">
        <f t="shared" ref="AS183" si="765">AS101-AN101</f>
        <v>0</v>
      </c>
      <c r="AT183" s="384">
        <f t="shared" ref="AT183" si="766">AT101-AO101</f>
        <v>0</v>
      </c>
      <c r="AU183" s="384">
        <f t="shared" ref="AU183" si="767">AU101-AP101</f>
        <v>0</v>
      </c>
    </row>
    <row r="184" spans="1:47" ht="14.55" customHeight="1" x14ac:dyDescent="0.3">
      <c r="A184" s="161"/>
    </row>
    <row r="185" spans="1:47" s="8" customFormat="1" x14ac:dyDescent="0.3">
      <c r="A185" s="161"/>
      <c r="B185" s="382" t="s">
        <v>323</v>
      </c>
      <c r="Q185" s="384">
        <f t="shared" ref="Q185:T185" si="768">Q111-L111</f>
        <v>-7.3337522717080939E-2</v>
      </c>
      <c r="R185" s="384"/>
      <c r="S185" s="384">
        <f t="shared" si="768"/>
        <v>-8.2275015567009335E-3</v>
      </c>
      <c r="T185" s="384">
        <f t="shared" si="768"/>
        <v>2.1961732903702735E-2</v>
      </c>
      <c r="U185" s="384">
        <f>U111-P111</f>
        <v>3.1106851202291286E-2</v>
      </c>
      <c r="V185" s="384">
        <f t="shared" ref="V185:AU185" si="769">V111-Q111</f>
        <v>3.0000000000000027E-2</v>
      </c>
      <c r="W185" s="384"/>
      <c r="X185" s="384">
        <f t="shared" si="769"/>
        <v>1.5000000000000013E-2</v>
      </c>
      <c r="Y185" s="384">
        <f t="shared" si="769"/>
        <v>0</v>
      </c>
      <c r="Z185" s="384">
        <f t="shared" si="769"/>
        <v>-5.0000000000000044E-3</v>
      </c>
      <c r="AA185" s="384">
        <f t="shared" si="769"/>
        <v>-3.0000000000000027E-2</v>
      </c>
      <c r="AB185" s="384"/>
      <c r="AC185" s="384">
        <f t="shared" si="769"/>
        <v>0</v>
      </c>
      <c r="AD185" s="384">
        <f t="shared" si="769"/>
        <v>0</v>
      </c>
      <c r="AE185" s="384">
        <f t="shared" si="769"/>
        <v>-2.0000000000000018E-2</v>
      </c>
      <c r="AF185" s="384">
        <f t="shared" si="769"/>
        <v>0</v>
      </c>
      <c r="AG185" s="384"/>
      <c r="AH185" s="384">
        <f t="shared" si="769"/>
        <v>0</v>
      </c>
      <c r="AI185" s="384">
        <f t="shared" si="769"/>
        <v>0</v>
      </c>
      <c r="AJ185" s="384">
        <f t="shared" si="769"/>
        <v>-1.0000000000000009E-2</v>
      </c>
      <c r="AK185" s="384">
        <f t="shared" si="769"/>
        <v>0</v>
      </c>
      <c r="AL185" s="384"/>
      <c r="AM185" s="384">
        <f t="shared" si="769"/>
        <v>0</v>
      </c>
      <c r="AN185" s="384">
        <f t="shared" si="769"/>
        <v>0</v>
      </c>
      <c r="AO185" s="384">
        <f t="shared" si="769"/>
        <v>0</v>
      </c>
      <c r="AP185" s="384">
        <f t="shared" si="769"/>
        <v>0</v>
      </c>
      <c r="AQ185" s="384"/>
      <c r="AR185" s="384">
        <f t="shared" si="769"/>
        <v>0</v>
      </c>
      <c r="AS185" s="384">
        <f t="shared" si="769"/>
        <v>0</v>
      </c>
      <c r="AT185" s="384">
        <f t="shared" si="769"/>
        <v>0</v>
      </c>
      <c r="AU185" s="384">
        <f t="shared" si="769"/>
        <v>0</v>
      </c>
    </row>
    <row r="186" spans="1:47" s="8" customFormat="1" x14ac:dyDescent="0.3">
      <c r="A186" s="161"/>
      <c r="B186" s="382" t="s">
        <v>324</v>
      </c>
      <c r="Q186" s="384">
        <f t="shared" ref="Q186:T186" si="770">Q113-L113</f>
        <v>-1.0844701708009816E-3</v>
      </c>
      <c r="R186" s="384"/>
      <c r="S186" s="384">
        <f t="shared" si="770"/>
        <v>-2.5553392161973866E-3</v>
      </c>
      <c r="T186" s="384">
        <f t="shared" si="770"/>
        <v>-1.2309816148434665E-2</v>
      </c>
      <c r="U186" s="384">
        <f>U113-P113</f>
        <v>5.2264096219557514E-2</v>
      </c>
      <c r="V186" s="384">
        <f t="shared" ref="V186:AU186" si="771">V113-Q113</f>
        <v>0.04</v>
      </c>
      <c r="W186" s="384"/>
      <c r="X186" s="384">
        <f t="shared" si="771"/>
        <v>0.02</v>
      </c>
      <c r="Y186" s="384">
        <f t="shared" si="771"/>
        <v>0</v>
      </c>
      <c r="Z186" s="384">
        <f t="shared" si="771"/>
        <v>-5.000000000000001E-3</v>
      </c>
      <c r="AA186" s="384">
        <f t="shared" si="771"/>
        <v>-0.03</v>
      </c>
      <c r="AB186" s="384"/>
      <c r="AC186" s="384">
        <f t="shared" si="771"/>
        <v>-0.02</v>
      </c>
      <c r="AD186" s="384">
        <f t="shared" si="771"/>
        <v>0</v>
      </c>
      <c r="AE186" s="384">
        <f t="shared" si="771"/>
        <v>0</v>
      </c>
      <c r="AF186" s="384">
        <f t="shared" si="771"/>
        <v>-0.02</v>
      </c>
      <c r="AG186" s="384"/>
      <c r="AH186" s="384">
        <f t="shared" si="771"/>
        <v>-2.9999999999999992E-3</v>
      </c>
      <c r="AI186" s="384">
        <f t="shared" si="771"/>
        <v>0</v>
      </c>
      <c r="AJ186" s="384">
        <f t="shared" si="771"/>
        <v>0</v>
      </c>
      <c r="AK186" s="384">
        <f t="shared" si="771"/>
        <v>-4.0000000000000001E-3</v>
      </c>
      <c r="AL186" s="384"/>
      <c r="AM186" s="384">
        <f t="shared" si="771"/>
        <v>0</v>
      </c>
      <c r="AN186" s="384">
        <f t="shared" si="771"/>
        <v>0</v>
      </c>
      <c r="AO186" s="384">
        <f t="shared" si="771"/>
        <v>0</v>
      </c>
      <c r="AP186" s="384">
        <f t="shared" si="771"/>
        <v>0</v>
      </c>
      <c r="AQ186" s="384"/>
      <c r="AR186" s="384">
        <f t="shared" si="771"/>
        <v>0</v>
      </c>
      <c r="AS186" s="384">
        <f t="shared" si="771"/>
        <v>0</v>
      </c>
      <c r="AT186" s="384">
        <f t="shared" si="771"/>
        <v>0</v>
      </c>
      <c r="AU186" s="384">
        <f t="shared" si="771"/>
        <v>0</v>
      </c>
    </row>
    <row r="187" spans="1:47" s="8" customFormat="1" x14ac:dyDescent="0.3">
      <c r="A187" s="161"/>
      <c r="B187" s="382" t="s">
        <v>325</v>
      </c>
      <c r="Q187" s="384">
        <f t="shared" ref="Q187:T187" si="772">Q116-L116</f>
        <v>2.3693128623915273E-3</v>
      </c>
      <c r="R187" s="384"/>
      <c r="S187" s="384">
        <f t="shared" si="772"/>
        <v>1.9882391779431439E-3</v>
      </c>
      <c r="T187" s="384">
        <f t="shared" si="772"/>
        <v>-8.1949465585923805E-4</v>
      </c>
      <c r="U187" s="384">
        <f>U116-P116</f>
        <v>-2.2101675866256984E-3</v>
      </c>
      <c r="V187" s="384">
        <f t="shared" ref="V187:AU187" si="773">V116-Q116</f>
        <v>0</v>
      </c>
      <c r="W187" s="384"/>
      <c r="X187" s="384">
        <f t="shared" si="773"/>
        <v>0</v>
      </c>
      <c r="Y187" s="384">
        <f t="shared" si="773"/>
        <v>0</v>
      </c>
      <c r="Z187" s="384">
        <f t="shared" si="773"/>
        <v>0</v>
      </c>
      <c r="AA187" s="384">
        <f t="shared" si="773"/>
        <v>0</v>
      </c>
      <c r="AB187" s="384"/>
      <c r="AC187" s="384">
        <f t="shared" si="773"/>
        <v>0</v>
      </c>
      <c r="AD187" s="384">
        <f t="shared" si="773"/>
        <v>0</v>
      </c>
      <c r="AE187" s="384">
        <f t="shared" si="773"/>
        <v>0</v>
      </c>
      <c r="AF187" s="384">
        <f t="shared" si="773"/>
        <v>0</v>
      </c>
      <c r="AG187" s="384"/>
      <c r="AH187" s="384">
        <f t="shared" si="773"/>
        <v>0</v>
      </c>
      <c r="AI187" s="384">
        <f t="shared" si="773"/>
        <v>0</v>
      </c>
      <c r="AJ187" s="384">
        <f t="shared" si="773"/>
        <v>0</v>
      </c>
      <c r="AK187" s="384">
        <f t="shared" si="773"/>
        <v>0</v>
      </c>
      <c r="AL187" s="384"/>
      <c r="AM187" s="384">
        <f t="shared" si="773"/>
        <v>0</v>
      </c>
      <c r="AN187" s="384">
        <f t="shared" si="773"/>
        <v>0</v>
      </c>
      <c r="AO187" s="384">
        <f t="shared" si="773"/>
        <v>0</v>
      </c>
      <c r="AP187" s="384">
        <f t="shared" si="773"/>
        <v>0</v>
      </c>
      <c r="AQ187" s="384"/>
      <c r="AR187" s="384">
        <f t="shared" si="773"/>
        <v>0</v>
      </c>
      <c r="AS187" s="384">
        <f t="shared" si="773"/>
        <v>0</v>
      </c>
      <c r="AT187" s="384">
        <f t="shared" si="773"/>
        <v>0</v>
      </c>
      <c r="AU187" s="384">
        <f t="shared" si="773"/>
        <v>0</v>
      </c>
    </row>
    <row r="188" spans="1:47" s="8" customFormat="1" x14ac:dyDescent="0.3">
      <c r="A188" s="161"/>
    </row>
    <row r="189" spans="1:47" s="8" customFormat="1" x14ac:dyDescent="0.3">
      <c r="A189" s="161"/>
    </row>
    <row r="190" spans="1:47" x14ac:dyDescent="0.3">
      <c r="A190" s="161"/>
    </row>
    <row r="191" spans="1:47" x14ac:dyDescent="0.3">
      <c r="A191" s="161"/>
    </row>
    <row r="192" spans="1:47" x14ac:dyDescent="0.3">
      <c r="A192" s="161"/>
    </row>
    <row r="193" spans="1:1" s="23" customFormat="1" x14ac:dyDescent="0.3">
      <c r="A193" s="161"/>
    </row>
    <row r="194" spans="1:1" x14ac:dyDescent="0.3">
      <c r="A194" s="161"/>
    </row>
    <row r="195" spans="1:1" x14ac:dyDescent="0.3">
      <c r="A195" s="161"/>
    </row>
    <row r="196" spans="1:1" x14ac:dyDescent="0.3">
      <c r="A196" s="161"/>
    </row>
    <row r="197" spans="1:1" x14ac:dyDescent="0.3">
      <c r="A197" s="161"/>
    </row>
    <row r="198" spans="1:1" x14ac:dyDescent="0.3">
      <c r="A198" s="161"/>
    </row>
    <row r="199" spans="1:1" x14ac:dyDescent="0.3">
      <c r="A199" s="161"/>
    </row>
    <row r="200" spans="1:1" x14ac:dyDescent="0.3">
      <c r="A200" s="161"/>
    </row>
    <row r="201" spans="1:1" x14ac:dyDescent="0.3">
      <c r="A201" s="161"/>
    </row>
    <row r="202" spans="1:1" x14ac:dyDescent="0.3">
      <c r="A202" s="161"/>
    </row>
    <row r="203" spans="1:1" x14ac:dyDescent="0.3">
      <c r="A203" s="161"/>
    </row>
    <row r="204" spans="1:1" x14ac:dyDescent="0.3">
      <c r="A204" s="161"/>
    </row>
    <row r="205" spans="1:1" ht="15.75" customHeight="1" x14ac:dyDescent="0.3">
      <c r="A205" s="161"/>
    </row>
    <row r="206" spans="1:1" x14ac:dyDescent="0.3">
      <c r="A206" s="161"/>
    </row>
    <row r="219" s="23" customFormat="1" x14ac:dyDescent="0.3"/>
    <row r="221" s="23" customFormat="1" x14ac:dyDescent="0.3"/>
    <row r="222" s="23" customFormat="1" x14ac:dyDescent="0.3"/>
    <row r="223" s="23" customFormat="1" x14ac:dyDescent="0.3"/>
    <row r="224" s="23" customFormat="1" x14ac:dyDescent="0.3"/>
    <row r="225" spans="2:7" s="23" customFormat="1" x14ac:dyDescent="0.3"/>
    <row r="226" spans="2:7" s="23" customFormat="1" x14ac:dyDescent="0.3"/>
    <row r="227" spans="2:7" s="23" customFormat="1" x14ac:dyDescent="0.3"/>
    <row r="228" spans="2:7" s="23" customFormat="1" x14ac:dyDescent="0.3"/>
    <row r="230" spans="2:7" x14ac:dyDescent="0.3">
      <c r="B230" s="7"/>
      <c r="C230" s="7"/>
      <c r="D230" s="4"/>
      <c r="E230" s="4"/>
      <c r="F230" s="4"/>
      <c r="G230" s="4"/>
    </row>
    <row r="270" s="23" customFormat="1" x14ac:dyDescent="0.3"/>
    <row r="271" s="23" customFormat="1" x14ac:dyDescent="0.3"/>
    <row r="272" s="23" customFormat="1" x14ac:dyDescent="0.3"/>
    <row r="281" spans="4:48" s="23" customFormat="1" x14ac:dyDescent="0.3"/>
    <row r="282" spans="4:48" s="23" customFormat="1" x14ac:dyDescent="0.3"/>
    <row r="283" spans="4:48" s="23" customFormat="1" x14ac:dyDescent="0.3"/>
    <row r="285" spans="4:48" s="63" customFormat="1" x14ac:dyDescent="0.3"/>
    <row r="286" spans="4:48" x14ac:dyDescent="0.3">
      <c r="D286" s="10"/>
      <c r="E286" s="10"/>
      <c r="F286" s="10"/>
      <c r="G286" s="10"/>
      <c r="H286" s="10"/>
      <c r="I286" s="10"/>
      <c r="J286" s="10"/>
      <c r="K286" s="10"/>
      <c r="L286" s="10"/>
      <c r="M286" s="10"/>
      <c r="N286" s="10"/>
      <c r="O286" s="10"/>
      <c r="P286" s="10"/>
      <c r="Q286" s="10"/>
      <c r="R286" s="10"/>
      <c r="S286" s="10"/>
      <c r="T286" s="10"/>
      <c r="U286" s="10"/>
      <c r="V286" s="10"/>
      <c r="W286" s="10"/>
      <c r="X286" s="10"/>
      <c r="AC286" s="10"/>
      <c r="AD286" s="10"/>
      <c r="AE286" s="10"/>
      <c r="AF286" s="10"/>
      <c r="AG286" s="10"/>
      <c r="AH286" s="10"/>
      <c r="AI286" s="10"/>
      <c r="AJ286" s="10"/>
      <c r="AK286" s="10"/>
      <c r="AL286" s="10"/>
      <c r="AM286" s="10"/>
      <c r="AN286" s="10"/>
      <c r="AO286" s="10"/>
      <c r="AP286" s="10"/>
      <c r="AQ286" s="10"/>
      <c r="AR286" s="10"/>
      <c r="AS286" s="10"/>
      <c r="AT286" s="10"/>
      <c r="AU286" s="10"/>
      <c r="AV286" s="10"/>
    </row>
    <row r="287" spans="4:48" x14ac:dyDescent="0.3">
      <c r="D287" s="163"/>
      <c r="E287" s="5"/>
      <c r="F287" s="5"/>
      <c r="G287" s="5"/>
      <c r="H287" s="5"/>
      <c r="I287" s="5"/>
      <c r="J287" s="5"/>
      <c r="K287" s="5"/>
      <c r="L287" s="5"/>
      <c r="M287" s="5"/>
      <c r="N287" s="5"/>
      <c r="O287" s="5"/>
      <c r="P287" s="5"/>
      <c r="Q287" s="5"/>
      <c r="R287" s="5"/>
      <c r="S287" s="5"/>
      <c r="T287" s="5"/>
      <c r="U287" s="5"/>
      <c r="V287" s="5"/>
      <c r="W287" s="5"/>
      <c r="X287" s="5"/>
      <c r="AC287" s="5"/>
      <c r="AD287" s="5"/>
      <c r="AE287" s="5"/>
      <c r="AF287" s="5"/>
      <c r="AG287" s="5"/>
      <c r="AH287" s="5"/>
      <c r="AI287" s="5"/>
      <c r="AJ287" s="5"/>
      <c r="AK287" s="5"/>
      <c r="AL287" s="5"/>
      <c r="AM287" s="5"/>
      <c r="AN287" s="5"/>
      <c r="AO287" s="5"/>
      <c r="AP287" s="5"/>
      <c r="AQ287" s="5"/>
      <c r="AR287" s="5"/>
      <c r="AS287" s="5"/>
      <c r="AT287" s="5"/>
      <c r="AU287" s="5"/>
      <c r="AV287" s="5"/>
    </row>
    <row r="288" spans="4:48" x14ac:dyDescent="0.3">
      <c r="D288" s="164"/>
    </row>
    <row r="289" spans="4:48" x14ac:dyDescent="0.3">
      <c r="D289" s="164"/>
    </row>
    <row r="290" spans="4:48" x14ac:dyDescent="0.3">
      <c r="D290" s="164"/>
    </row>
    <row r="291" spans="4:48" x14ac:dyDescent="0.3">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row>
    <row r="293" spans="4:48" ht="15" customHeight="1" x14ac:dyDescent="0.3"/>
    <row r="295" spans="4:48" x14ac:dyDescent="0.3">
      <c r="D295" s="163"/>
    </row>
    <row r="296" spans="4:48" x14ac:dyDescent="0.3">
      <c r="D296" s="164"/>
    </row>
    <row r="297" spans="4:48" x14ac:dyDescent="0.3">
      <c r="D297" s="164"/>
    </row>
    <row r="298" spans="4:48" x14ac:dyDescent="0.3">
      <c r="D298" s="164"/>
    </row>
    <row r="299" spans="4:48" x14ac:dyDescent="0.3">
      <c r="D299" s="164"/>
    </row>
    <row r="300" spans="4:48" x14ac:dyDescent="0.3">
      <c r="D300" s="164"/>
    </row>
    <row r="301" spans="4:48" x14ac:dyDescent="0.3">
      <c r="D301" s="164"/>
    </row>
    <row r="302" spans="4:48" x14ac:dyDescent="0.3">
      <c r="D302" s="164"/>
    </row>
    <row r="303" spans="4:48" x14ac:dyDescent="0.3">
      <c r="D303" s="164"/>
    </row>
    <row r="304" spans="4:48" x14ac:dyDescent="0.3">
      <c r="D304" s="164"/>
    </row>
    <row r="305" spans="4:4" x14ac:dyDescent="0.3">
      <c r="D305" s="164"/>
    </row>
    <row r="306" spans="4:4" x14ac:dyDescent="0.3">
      <c r="D306" s="164"/>
    </row>
    <row r="307" spans="4:4" x14ac:dyDescent="0.3">
      <c r="D307" s="164"/>
    </row>
    <row r="308" spans="4:4" x14ac:dyDescent="0.3">
      <c r="D308" s="164"/>
    </row>
    <row r="309" spans="4:4" x14ac:dyDescent="0.3">
      <c r="D309" s="164"/>
    </row>
    <row r="310" spans="4:4" x14ac:dyDescent="0.3">
      <c r="D310" s="164"/>
    </row>
    <row r="311" spans="4:4" x14ac:dyDescent="0.3">
      <c r="D311" s="164"/>
    </row>
    <row r="312" spans="4:4" x14ac:dyDescent="0.3">
      <c r="D312" s="164"/>
    </row>
    <row r="313" spans="4:4" x14ac:dyDescent="0.3">
      <c r="D313" s="164"/>
    </row>
    <row r="314" spans="4:4" x14ac:dyDescent="0.3">
      <c r="D314" s="164"/>
    </row>
    <row r="315" spans="4:4" x14ac:dyDescent="0.3">
      <c r="D315" s="164"/>
    </row>
    <row r="316" spans="4:4" x14ac:dyDescent="0.3">
      <c r="D316" s="164"/>
    </row>
  </sheetData>
  <dataConsolidate/>
  <mergeCells count="61">
    <mergeCell ref="A3:A4"/>
    <mergeCell ref="B3:C3"/>
    <mergeCell ref="B4:C4"/>
    <mergeCell ref="B5:C5"/>
    <mergeCell ref="B6:C6"/>
    <mergeCell ref="B7:C7"/>
    <mergeCell ref="B8:C8"/>
    <mergeCell ref="B9:C9"/>
    <mergeCell ref="B16:C16"/>
    <mergeCell ref="B45:C45"/>
    <mergeCell ref="B23:C23"/>
    <mergeCell ref="B24:C24"/>
    <mergeCell ref="B25:C25"/>
    <mergeCell ref="B30:C30"/>
    <mergeCell ref="B31:C31"/>
    <mergeCell ref="B32:C32"/>
    <mergeCell ref="B33:C33"/>
    <mergeCell ref="B38:C38"/>
    <mergeCell ref="B39:C39"/>
    <mergeCell ref="B40:C40"/>
    <mergeCell ref="B41:C41"/>
    <mergeCell ref="B92:C92"/>
    <mergeCell ref="B50:C50"/>
    <mergeCell ref="B54:C54"/>
    <mergeCell ref="B55:C55"/>
    <mergeCell ref="B59:C59"/>
    <mergeCell ref="B60:C60"/>
    <mergeCell ref="B73:C73"/>
    <mergeCell ref="B74:C74"/>
    <mergeCell ref="B78:C78"/>
    <mergeCell ref="B83:C83"/>
    <mergeCell ref="B87:C87"/>
    <mergeCell ref="B88:C88"/>
    <mergeCell ref="B157:C157"/>
    <mergeCell ref="B142:C142"/>
    <mergeCell ref="B93:C93"/>
    <mergeCell ref="B107:C107"/>
    <mergeCell ref="B108:C108"/>
    <mergeCell ref="B110:C110"/>
    <mergeCell ref="B122:C122"/>
    <mergeCell ref="B123:C123"/>
    <mergeCell ref="B125:C125"/>
    <mergeCell ref="B132:C132"/>
    <mergeCell ref="B138:C138"/>
    <mergeCell ref="B140:C140"/>
    <mergeCell ref="B141:C141"/>
    <mergeCell ref="B152:C152"/>
    <mergeCell ref="B153:C153"/>
    <mergeCell ref="B154:C154"/>
    <mergeCell ref="B155:C155"/>
    <mergeCell ref="B156:C156"/>
    <mergeCell ref="B143:C143"/>
    <mergeCell ref="B144:C144"/>
    <mergeCell ref="B145:C145"/>
    <mergeCell ref="B150:C150"/>
    <mergeCell ref="B151:C151"/>
    <mergeCell ref="B162:C162"/>
    <mergeCell ref="B163:C163"/>
    <mergeCell ref="B165:C165"/>
    <mergeCell ref="B172:C172"/>
    <mergeCell ref="B158:C158"/>
  </mergeCells>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rowBreaks count="1" manualBreakCount="1">
    <brk id="138" max="16383" man="1"/>
  </rowBreaks>
  <ignoredErrors>
    <ignoredError sqref="W90 W92" formula="1"/>
  </ignoredError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95618-AD44-4750-9082-AEBE8213AA04}">
  <dimension ref="B2:C9"/>
  <sheetViews>
    <sheetView showGridLines="0" workbookViewId="0">
      <selection activeCell="L23" sqref="L23"/>
    </sheetView>
  </sheetViews>
  <sheetFormatPr defaultRowHeight="14.4" x14ac:dyDescent="0.3"/>
  <cols>
    <col min="1" max="1" width="2.44140625" customWidth="1"/>
    <col min="2" max="2" width="27.21875" customWidth="1"/>
    <col min="3" max="3" width="12.5546875" customWidth="1"/>
  </cols>
  <sheetData>
    <row r="2" spans="2:3" ht="15.6" x14ac:dyDescent="0.3">
      <c r="B2" s="433" t="s">
        <v>336</v>
      </c>
      <c r="C2" s="491"/>
    </row>
    <row r="3" spans="2:3" x14ac:dyDescent="0.3">
      <c r="B3" s="308" t="s">
        <v>339</v>
      </c>
      <c r="C3" s="426">
        <v>25</v>
      </c>
    </row>
    <row r="4" spans="2:3" x14ac:dyDescent="0.3">
      <c r="B4" s="308" t="s">
        <v>340</v>
      </c>
      <c r="C4" s="427">
        <v>30</v>
      </c>
    </row>
    <row r="5" spans="2:3" x14ac:dyDescent="0.3">
      <c r="B5" s="308" t="s">
        <v>341</v>
      </c>
      <c r="C5" s="427">
        <v>23</v>
      </c>
    </row>
    <row r="6" spans="2:3" x14ac:dyDescent="0.3">
      <c r="B6" s="308" t="s">
        <v>342</v>
      </c>
      <c r="C6" s="422" t="s">
        <v>346</v>
      </c>
    </row>
    <row r="7" spans="2:3" x14ac:dyDescent="0.3">
      <c r="B7" s="180" t="s">
        <v>343</v>
      </c>
      <c r="C7" s="428">
        <v>33</v>
      </c>
    </row>
    <row r="8" spans="2:3" ht="16.2" x14ac:dyDescent="0.45">
      <c r="B8" s="180" t="s">
        <v>337</v>
      </c>
      <c r="C8" s="423">
        <v>0</v>
      </c>
    </row>
    <row r="9" spans="2:3" x14ac:dyDescent="0.3">
      <c r="B9" s="424" t="s">
        <v>338</v>
      </c>
      <c r="C9" s="425">
        <f>C7*'IS (Base-Case)'!AB34</f>
        <v>111.44936092778278</v>
      </c>
    </row>
  </sheetData>
  <mergeCells count="1">
    <mergeCell ref="B2:C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C4A56-0293-4141-A4E6-7E533B32DA9A}">
  <sheetPr>
    <tabColor theme="3" tint="0.79998168889431442"/>
    <pageSetUpPr fitToPage="1"/>
  </sheetPr>
  <dimension ref="A1:AV67"/>
  <sheetViews>
    <sheetView showGridLines="0" zoomScaleNormal="100" workbookViewId="0">
      <pane xSplit="3" ySplit="5" topLeftCell="D6" activePane="bottomRight" state="frozen"/>
      <selection activeCell="B24" sqref="B24:C24"/>
      <selection pane="topRight" activeCell="B24" sqref="B24:C24"/>
      <selection pane="bottomLeft" activeCell="B24" sqref="B24:C24"/>
      <selection pane="bottomRight" activeCell="B24" sqref="B24:C24"/>
    </sheetView>
  </sheetViews>
  <sheetFormatPr defaultColWidth="8.88671875" defaultRowHeight="14.4" outlineLevelRow="1" outlineLevelCol="1" x14ac:dyDescent="0.3"/>
  <cols>
    <col min="1" max="1" width="2" style="2" customWidth="1"/>
    <col min="2" max="2" width="39" style="2" customWidth="1"/>
    <col min="3" max="3" width="10" style="2" customWidth="1"/>
    <col min="4" max="5" width="11.5546875" style="1" customWidth="1" outlineLevel="1"/>
    <col min="6" max="7" width="11.5546875" style="3" customWidth="1" outlineLevel="1"/>
    <col min="8" max="8" width="11.5546875" style="3" customWidth="1"/>
    <col min="9" max="10" width="11.5546875" style="1" customWidth="1" outlineLevel="1"/>
    <col min="11" max="12" width="11.5546875" style="3" customWidth="1" outlineLevel="1"/>
    <col min="13" max="13" width="11.5546875" style="3" customWidth="1"/>
    <col min="14" max="15" width="11.5546875" style="1" customWidth="1" outlineLevel="1"/>
    <col min="16" max="17" width="11.5546875" style="3" customWidth="1" outlineLevel="1"/>
    <col min="18" max="18" width="11.5546875" style="3" customWidth="1"/>
    <col min="19" max="20" width="11.5546875" style="1" customWidth="1" outlineLevel="1"/>
    <col min="21" max="22" width="11.5546875" style="3" customWidth="1" outlineLevel="1"/>
    <col min="23" max="23" width="11.5546875" style="3" customWidth="1"/>
    <col min="24" max="25" width="11.5546875" style="1" customWidth="1" outlineLevel="1"/>
    <col min="26" max="27" width="11.5546875" style="3" customWidth="1" outlineLevel="1"/>
    <col min="28" max="28" width="11.5546875" style="3" customWidth="1"/>
    <col min="29" max="30" width="11.5546875" style="1" customWidth="1" outlineLevel="1"/>
    <col min="31" max="32" width="11.5546875" style="3" customWidth="1" outlineLevel="1"/>
    <col min="33" max="33" width="11.5546875" style="3" customWidth="1"/>
    <col min="34" max="35" width="11.5546875" style="1" customWidth="1" outlineLevel="1"/>
    <col min="36" max="37" width="11.5546875" style="3" customWidth="1" outlineLevel="1"/>
    <col min="38" max="38" width="11.5546875" style="3" customWidth="1"/>
    <col min="39" max="40" width="11.5546875" style="1" customWidth="1" outlineLevel="1"/>
    <col min="41" max="42" width="11.5546875" style="3" customWidth="1" outlineLevel="1"/>
    <col min="43" max="43" width="11.5546875" style="3" customWidth="1"/>
    <col min="44" max="45" width="11.5546875" style="1" customWidth="1" outlineLevel="1"/>
    <col min="46" max="47" width="11.5546875" style="3" customWidth="1" outlineLevel="1"/>
    <col min="48" max="48" width="11.5546875" style="3" customWidth="1"/>
    <col min="49" max="16384" width="8.88671875" style="2"/>
  </cols>
  <sheetData>
    <row r="1" spans="1:48" ht="16.2" customHeight="1" x14ac:dyDescent="0.3">
      <c r="B1" s="237" t="s">
        <v>210</v>
      </c>
      <c r="D1" s="45"/>
      <c r="E1" s="149"/>
      <c r="F1" s="149"/>
      <c r="G1" s="149"/>
      <c r="H1" s="149"/>
      <c r="I1" s="216"/>
      <c r="J1" s="216"/>
      <c r="K1" s="216"/>
      <c r="L1" s="216"/>
      <c r="M1" s="162"/>
      <c r="N1" s="216"/>
      <c r="O1" s="216"/>
      <c r="P1" s="216"/>
      <c r="Q1" s="216"/>
      <c r="R1" s="195"/>
      <c r="S1" s="216"/>
      <c r="T1" s="216"/>
      <c r="U1" s="216"/>
      <c r="V1" s="216"/>
      <c r="W1" s="195"/>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row>
    <row r="2" spans="1:48" ht="5.4" customHeight="1" x14ac:dyDescent="0.3">
      <c r="B2" s="99"/>
      <c r="D2" s="45"/>
      <c r="E2" s="149"/>
      <c r="F2" s="149"/>
      <c r="G2" s="149"/>
      <c r="H2" s="149"/>
      <c r="I2" s="216"/>
      <c r="J2" s="216"/>
      <c r="K2" s="216"/>
      <c r="L2" s="216"/>
      <c r="M2" s="162"/>
      <c r="N2" s="216"/>
      <c r="O2" s="216"/>
      <c r="P2" s="216"/>
      <c r="Q2" s="216"/>
      <c r="R2" s="195"/>
      <c r="S2" s="216"/>
      <c r="T2" s="216"/>
      <c r="U2" s="216"/>
      <c r="V2" s="216"/>
      <c r="W2" s="195"/>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row>
    <row r="3" spans="1:48" ht="15.6" x14ac:dyDescent="0.3">
      <c r="B3" s="433" t="s">
        <v>211</v>
      </c>
      <c r="C3" s="434"/>
      <c r="D3" s="13" t="s">
        <v>15</v>
      </c>
      <c r="E3" s="13" t="s">
        <v>82</v>
      </c>
      <c r="F3" s="13" t="s">
        <v>84</v>
      </c>
      <c r="G3" s="13" t="s">
        <v>147</v>
      </c>
      <c r="H3" s="39" t="s">
        <v>147</v>
      </c>
      <c r="I3" s="13" t="s">
        <v>146</v>
      </c>
      <c r="J3" s="13" t="s">
        <v>145</v>
      </c>
      <c r="K3" s="13" t="s">
        <v>144</v>
      </c>
      <c r="L3" s="13" t="s">
        <v>141</v>
      </c>
      <c r="M3" s="39" t="s">
        <v>141</v>
      </c>
      <c r="N3" s="13" t="s">
        <v>148</v>
      </c>
      <c r="O3" s="13" t="s">
        <v>156</v>
      </c>
      <c r="P3" s="13" t="s">
        <v>158</v>
      </c>
      <c r="Q3" s="13" t="s">
        <v>171</v>
      </c>
      <c r="R3" s="39" t="s">
        <v>171</v>
      </c>
      <c r="S3" s="13" t="s">
        <v>187</v>
      </c>
      <c r="T3" s="13" t="s">
        <v>190</v>
      </c>
      <c r="U3" s="13" t="s">
        <v>203</v>
      </c>
      <c r="V3" s="15" t="s">
        <v>20</v>
      </c>
      <c r="W3" s="41" t="s">
        <v>20</v>
      </c>
      <c r="X3" s="15" t="s">
        <v>21</v>
      </c>
      <c r="Y3" s="15" t="s">
        <v>22</v>
      </c>
      <c r="Z3" s="15" t="s">
        <v>23</v>
      </c>
      <c r="AA3" s="15" t="s">
        <v>24</v>
      </c>
      <c r="AB3" s="41" t="s">
        <v>24</v>
      </c>
      <c r="AC3" s="15" t="s">
        <v>86</v>
      </c>
      <c r="AD3" s="15" t="s">
        <v>87</v>
      </c>
      <c r="AE3" s="15" t="s">
        <v>88</v>
      </c>
      <c r="AF3" s="15" t="s">
        <v>89</v>
      </c>
      <c r="AG3" s="41" t="s">
        <v>89</v>
      </c>
      <c r="AH3" s="15" t="s">
        <v>105</v>
      </c>
      <c r="AI3" s="15" t="s">
        <v>106</v>
      </c>
      <c r="AJ3" s="15" t="s">
        <v>107</v>
      </c>
      <c r="AK3" s="15" t="s">
        <v>108</v>
      </c>
      <c r="AL3" s="41" t="s">
        <v>108</v>
      </c>
      <c r="AM3" s="15" t="s">
        <v>160</v>
      </c>
      <c r="AN3" s="15" t="s">
        <v>161</v>
      </c>
      <c r="AO3" s="15" t="s">
        <v>162</v>
      </c>
      <c r="AP3" s="15" t="s">
        <v>163</v>
      </c>
      <c r="AQ3" s="41" t="s">
        <v>163</v>
      </c>
      <c r="AR3" s="15" t="s">
        <v>191</v>
      </c>
      <c r="AS3" s="15" t="s">
        <v>192</v>
      </c>
      <c r="AT3" s="15" t="s">
        <v>193</v>
      </c>
      <c r="AU3" s="15" t="s">
        <v>194</v>
      </c>
      <c r="AV3" s="41" t="s">
        <v>194</v>
      </c>
    </row>
    <row r="4" spans="1:48" ht="16.2" x14ac:dyDescent="0.45">
      <c r="B4" s="251" t="s">
        <v>3</v>
      </c>
      <c r="C4" s="252"/>
      <c r="D4" s="14" t="s">
        <v>19</v>
      </c>
      <c r="E4" s="14" t="s">
        <v>81</v>
      </c>
      <c r="F4" s="14" t="s">
        <v>85</v>
      </c>
      <c r="G4" s="14" t="s">
        <v>95</v>
      </c>
      <c r="H4" s="40" t="s">
        <v>96</v>
      </c>
      <c r="I4" s="14" t="s">
        <v>97</v>
      </c>
      <c r="J4" s="14" t="s">
        <v>98</v>
      </c>
      <c r="K4" s="14" t="s">
        <v>99</v>
      </c>
      <c r="L4" s="14" t="s">
        <v>142</v>
      </c>
      <c r="M4" s="40" t="s">
        <v>143</v>
      </c>
      <c r="N4" s="14" t="s">
        <v>149</v>
      </c>
      <c r="O4" s="14" t="s">
        <v>157</v>
      </c>
      <c r="P4" s="14" t="s">
        <v>159</v>
      </c>
      <c r="Q4" s="14" t="s">
        <v>172</v>
      </c>
      <c r="R4" s="40" t="s">
        <v>173</v>
      </c>
      <c r="S4" s="14" t="s">
        <v>188</v>
      </c>
      <c r="T4" s="14" t="s">
        <v>189</v>
      </c>
      <c r="U4" s="14" t="s">
        <v>204</v>
      </c>
      <c r="V4" s="12" t="s">
        <v>25</v>
      </c>
      <c r="W4" s="42" t="s">
        <v>26</v>
      </c>
      <c r="X4" s="12" t="s">
        <v>27</v>
      </c>
      <c r="Y4" s="12" t="s">
        <v>28</v>
      </c>
      <c r="Z4" s="12" t="s">
        <v>29</v>
      </c>
      <c r="AA4" s="12" t="s">
        <v>30</v>
      </c>
      <c r="AB4" s="42" t="s">
        <v>31</v>
      </c>
      <c r="AC4" s="12" t="s">
        <v>90</v>
      </c>
      <c r="AD4" s="12" t="s">
        <v>91</v>
      </c>
      <c r="AE4" s="12" t="s">
        <v>92</v>
      </c>
      <c r="AF4" s="12" t="s">
        <v>93</v>
      </c>
      <c r="AG4" s="42" t="s">
        <v>94</v>
      </c>
      <c r="AH4" s="12" t="s">
        <v>109</v>
      </c>
      <c r="AI4" s="12" t="s">
        <v>110</v>
      </c>
      <c r="AJ4" s="12" t="s">
        <v>111</v>
      </c>
      <c r="AK4" s="12" t="s">
        <v>112</v>
      </c>
      <c r="AL4" s="42" t="s">
        <v>113</v>
      </c>
      <c r="AM4" s="12" t="s">
        <v>164</v>
      </c>
      <c r="AN4" s="12" t="s">
        <v>165</v>
      </c>
      <c r="AO4" s="12" t="s">
        <v>166</v>
      </c>
      <c r="AP4" s="12" t="s">
        <v>167</v>
      </c>
      <c r="AQ4" s="42" t="s">
        <v>168</v>
      </c>
      <c r="AR4" s="12" t="s">
        <v>195</v>
      </c>
      <c r="AS4" s="12" t="s">
        <v>196</v>
      </c>
      <c r="AT4" s="12" t="s">
        <v>197</v>
      </c>
      <c r="AU4" s="12" t="s">
        <v>198</v>
      </c>
      <c r="AV4" s="42" t="s">
        <v>199</v>
      </c>
    </row>
    <row r="5" spans="1:48" ht="14.55" customHeight="1" x14ac:dyDescent="0.3">
      <c r="B5" s="433" t="s">
        <v>212</v>
      </c>
      <c r="C5" s="434"/>
      <c r="D5" s="13"/>
      <c r="E5" s="13"/>
      <c r="F5" s="13"/>
      <c r="G5" s="258"/>
      <c r="H5" s="259"/>
      <c r="I5" s="258"/>
      <c r="J5" s="13"/>
      <c r="K5" s="13"/>
      <c r="L5" s="258"/>
      <c r="M5" s="259"/>
      <c r="N5" s="258"/>
      <c r="O5" s="13"/>
      <c r="P5" s="13"/>
      <c r="Q5" s="258"/>
      <c r="R5" s="259"/>
      <c r="S5" s="258"/>
      <c r="T5" s="13"/>
      <c r="U5" s="13"/>
      <c r="V5" s="15"/>
      <c r="W5" s="41"/>
      <c r="X5" s="15"/>
      <c r="Y5" s="15"/>
      <c r="Z5" s="15"/>
      <c r="AA5" s="15"/>
      <c r="AB5" s="41"/>
      <c r="AC5" s="15"/>
      <c r="AD5" s="15"/>
      <c r="AE5" s="15"/>
      <c r="AF5" s="15"/>
      <c r="AG5" s="41"/>
      <c r="AH5" s="15"/>
      <c r="AI5" s="15"/>
      <c r="AJ5" s="15"/>
      <c r="AK5" s="15"/>
      <c r="AL5" s="41"/>
      <c r="AM5" s="15"/>
      <c r="AN5" s="15"/>
      <c r="AO5" s="15"/>
      <c r="AP5" s="15"/>
      <c r="AQ5" s="41"/>
      <c r="AR5" s="15"/>
      <c r="AS5" s="15"/>
      <c r="AT5" s="15"/>
      <c r="AU5" s="15"/>
      <c r="AV5" s="41"/>
    </row>
    <row r="6" spans="1:48" ht="14.55" customHeight="1" outlineLevel="1" x14ac:dyDescent="0.3">
      <c r="B6" s="435" t="s">
        <v>213</v>
      </c>
      <c r="C6" s="436"/>
      <c r="D6" s="16">
        <f>'CFS (Base-Case)'!D41</f>
        <v>4761.6000000000004</v>
      </c>
      <c r="E6" s="16">
        <f>'CFS (Base-Case)'!E41</f>
        <v>2055.1000000000004</v>
      </c>
      <c r="F6" s="16">
        <f>'CFS (Base-Case)'!F41</f>
        <v>4763.4000000000015</v>
      </c>
      <c r="G6" s="101">
        <f>'CFS (Base-Case)'!G41</f>
        <v>2686.6000000000022</v>
      </c>
      <c r="H6" s="17">
        <f>G6</f>
        <v>2686.6000000000022</v>
      </c>
      <c r="I6" s="16">
        <f>'CFS (Base-Case)'!I41</f>
        <v>3040.5000000000036</v>
      </c>
      <c r="J6" s="16">
        <f>'CFS (Base-Case)'!J41</f>
        <v>2572.3000000000029</v>
      </c>
      <c r="K6" s="16">
        <f>'CFS (Base-Case)'!K41</f>
        <v>3965.9000000000042</v>
      </c>
      <c r="L6" s="101">
        <f>'CFS (Base-Case)'!L41</f>
        <v>4350.900000000006</v>
      </c>
      <c r="M6" s="17">
        <f>L6</f>
        <v>4350.900000000006</v>
      </c>
      <c r="N6" s="16">
        <f>'CFS (Base-Case)'!N41</f>
        <v>5028.00000000001</v>
      </c>
      <c r="O6" s="16">
        <f>'CFS (Base-Case)'!O41</f>
        <v>3880.6000000000104</v>
      </c>
      <c r="P6" s="16">
        <f>'CFS (Base-Case)'!P41</f>
        <v>4753.1000000000095</v>
      </c>
      <c r="Q6" s="16">
        <f>'CFS (Base-Case)'!Q41</f>
        <v>6455.7000000000089</v>
      </c>
      <c r="R6" s="17">
        <f>Q6</f>
        <v>6455.7000000000089</v>
      </c>
      <c r="S6" s="16">
        <f>'CFS (Base-Case)'!S41</f>
        <v>3969.4000000000078</v>
      </c>
      <c r="T6" s="16">
        <f>'CFS (Base-Case)'!T41</f>
        <v>3913.4000000000083</v>
      </c>
      <c r="U6" s="16">
        <f>'CFS (Base-Case)'!U41</f>
        <v>3177.5000000000073</v>
      </c>
      <c r="V6" s="16">
        <f>'CFS (Base-Case)'!V41</f>
        <v>3252.6993448393941</v>
      </c>
      <c r="W6" s="17">
        <f>V6</f>
        <v>3252.6993448393941</v>
      </c>
      <c r="X6" s="16">
        <f>'CFS (Base-Case)'!X41</f>
        <v>3666.0614043178766</v>
      </c>
      <c r="Y6" s="16">
        <f>'CFS (Base-Case)'!Y41</f>
        <v>3161.9917292242617</v>
      </c>
      <c r="Z6" s="16">
        <f>'CFS (Base-Case)'!Z41</f>
        <v>2920.316654778565</v>
      </c>
      <c r="AA6" s="16">
        <f>'CFS (Base-Case)'!AA41</f>
        <v>3516.2664206510899</v>
      </c>
      <c r="AB6" s="17">
        <f>AA6</f>
        <v>3516.2664206510899</v>
      </c>
      <c r="AC6" s="16">
        <f>'CFS (Base-Case)'!AC41</f>
        <v>4310.8334032023095</v>
      </c>
      <c r="AD6" s="16">
        <f>'CFS (Base-Case)'!AD41</f>
        <v>4069.7974787335893</v>
      </c>
      <c r="AE6" s="16">
        <f>'CFS (Base-Case)'!AE41</f>
        <v>4102.1196225674075</v>
      </c>
      <c r="AF6" s="16">
        <f>'CFS (Base-Case)'!AF41</f>
        <v>4645.1767963144257</v>
      </c>
      <c r="AG6" s="17">
        <f>AF6</f>
        <v>4645.1767963144257</v>
      </c>
      <c r="AH6" s="16">
        <f>'CFS (Base-Case)'!AH41</f>
        <v>5516.6280277849673</v>
      </c>
      <c r="AI6" s="16">
        <f>'CFS (Base-Case)'!AI41</f>
        <v>5277.3461012798416</v>
      </c>
      <c r="AJ6" s="16">
        <f>'CFS (Base-Case)'!AJ41</f>
        <v>5631.875556034538</v>
      </c>
      <c r="AK6" s="16">
        <f>'CFS (Base-Case)'!AK41</f>
        <v>1428.6411492952666</v>
      </c>
      <c r="AL6" s="17">
        <f>AK6</f>
        <v>1428.6411492952666</v>
      </c>
      <c r="AM6" s="16">
        <f>'CFS (Base-Case)'!AM41</f>
        <v>2312.4919683927283</v>
      </c>
      <c r="AN6" s="16">
        <f>'CFS (Base-Case)'!AN41</f>
        <v>1931.679345599335</v>
      </c>
      <c r="AO6" s="16">
        <f>'CFS (Base-Case)'!AO41</f>
        <v>1982.0004871584756</v>
      </c>
      <c r="AP6" s="16">
        <f>'CFS (Base-Case)'!AP41</f>
        <v>2708.1769521385404</v>
      </c>
      <c r="AQ6" s="17">
        <f>AP6</f>
        <v>2708.1769521385404</v>
      </c>
      <c r="AR6" s="16">
        <f>'CFS (Base-Case)'!AR41</f>
        <v>3795.2184466129434</v>
      </c>
      <c r="AS6" s="16">
        <f>'CFS (Base-Case)'!AS41</f>
        <v>3498.4317670833198</v>
      </c>
      <c r="AT6" s="16">
        <f>'CFS (Base-Case)'!AT41</f>
        <v>3672.756153156146</v>
      </c>
      <c r="AU6" s="16">
        <f>'CFS (Base-Case)'!AU41</f>
        <v>4472.4777889437864</v>
      </c>
      <c r="AV6" s="17">
        <f>AU6</f>
        <v>4472.4777889437864</v>
      </c>
    </row>
    <row r="7" spans="1:48" ht="14.55" customHeight="1" outlineLevel="1" x14ac:dyDescent="0.3">
      <c r="A7" s="161"/>
      <c r="B7" s="200" t="s">
        <v>214</v>
      </c>
      <c r="C7" s="201"/>
      <c r="D7" s="16">
        <v>230.2</v>
      </c>
      <c r="E7" s="16">
        <v>76.599999999999994</v>
      </c>
      <c r="F7" s="16">
        <v>72.099999999999994</v>
      </c>
      <c r="G7" s="16">
        <v>70.5</v>
      </c>
      <c r="H7" s="17">
        <f>+G7</f>
        <v>70.5</v>
      </c>
      <c r="I7" s="16">
        <v>68.400000000000006</v>
      </c>
      <c r="J7" s="16">
        <v>52.9</v>
      </c>
      <c r="K7" s="16">
        <v>229.9</v>
      </c>
      <c r="L7" s="16">
        <v>281.2</v>
      </c>
      <c r="M7" s="17">
        <f>+L7</f>
        <v>281.2</v>
      </c>
      <c r="N7" s="16">
        <v>235.5</v>
      </c>
      <c r="O7" s="16">
        <v>123</v>
      </c>
      <c r="P7" s="16">
        <v>153.6</v>
      </c>
      <c r="Q7" s="101">
        <v>162.19999999999999</v>
      </c>
      <c r="R7" s="17">
        <f>+Q7</f>
        <v>162.19999999999999</v>
      </c>
      <c r="S7" s="16">
        <v>87.4</v>
      </c>
      <c r="T7" s="16">
        <v>82.1</v>
      </c>
      <c r="U7" s="16">
        <v>76.900000000000006</v>
      </c>
      <c r="V7" s="16">
        <f>+V53*V42*V54</f>
        <v>95.500575647687469</v>
      </c>
      <c r="W7" s="17">
        <f>+V7</f>
        <v>95.500575647687469</v>
      </c>
      <c r="X7" s="16">
        <f>+X53*X42*X54</f>
        <v>86.242056600962172</v>
      </c>
      <c r="Y7" s="16">
        <f>+Y53*Y42*Y54</f>
        <v>85.562082668529058</v>
      </c>
      <c r="Z7" s="16">
        <f>+Z53*Z42*Z54</f>
        <v>88.660774598026492</v>
      </c>
      <c r="AA7" s="16">
        <f>+AA53*AA42*AA54</f>
        <v>91.78830759639655</v>
      </c>
      <c r="AB7" s="17">
        <f>+AA7</f>
        <v>91.78830759639655</v>
      </c>
      <c r="AC7" s="16">
        <f>+AC53*AC42*AC54</f>
        <v>93.031928044095721</v>
      </c>
      <c r="AD7" s="16">
        <f>+AD53*AD42*AD54</f>
        <v>93.146450070213703</v>
      </c>
      <c r="AE7" s="16">
        <f>+AE53*AE42*AE54</f>
        <v>95.54973383467123</v>
      </c>
      <c r="AF7" s="16">
        <f>+AF53*AF42*AF54</f>
        <v>96.963855341271696</v>
      </c>
      <c r="AG7" s="17">
        <f>+AF7</f>
        <v>96.963855341271696</v>
      </c>
      <c r="AH7" s="16">
        <f>+AH53*AH42*AH54</f>
        <v>100.35359594589841</v>
      </c>
      <c r="AI7" s="16">
        <f>+AI53*AI42*AI54</f>
        <v>100.41791707638792</v>
      </c>
      <c r="AJ7" s="16">
        <f>+AJ53*AJ42*AJ54</f>
        <v>103.97861862711942</v>
      </c>
      <c r="AK7" s="16">
        <f>+AK53*AK42*AK54</f>
        <v>89.807739046999473</v>
      </c>
      <c r="AL7" s="17">
        <f>+AK7</f>
        <v>89.807739046999473</v>
      </c>
      <c r="AM7" s="16">
        <f>+AM53*AM42*AM54</f>
        <v>93.359672433658119</v>
      </c>
      <c r="AN7" s="16">
        <f>+AN53*AN42*AN54</f>
        <v>92.865919846100823</v>
      </c>
      <c r="AO7" s="16">
        <f>+AO53*AO42*AO54</f>
        <v>95.591513816191764</v>
      </c>
      <c r="AP7" s="16">
        <f>+AP53*AP42*AP54</f>
        <v>96.881671426513407</v>
      </c>
      <c r="AQ7" s="17">
        <f>+AP7</f>
        <v>96.881671426513407</v>
      </c>
      <c r="AR7" s="16">
        <f>+AR53*AR42*AR54</f>
        <v>100.96845297387152</v>
      </c>
      <c r="AS7" s="16">
        <f>+AS53*AS42*AS54</f>
        <v>100.69186605384213</v>
      </c>
      <c r="AT7" s="16">
        <f>+AT53*AT42*AT54</f>
        <v>103.76684060731219</v>
      </c>
      <c r="AU7" s="16">
        <f>+AU53*AU42*AU54</f>
        <v>105.36285424264302</v>
      </c>
      <c r="AV7" s="17">
        <f>+AU7</f>
        <v>105.36285424264302</v>
      </c>
    </row>
    <row r="8" spans="1:48" s="23" customFormat="1" ht="14.55" customHeight="1" outlineLevel="1" x14ac:dyDescent="0.3">
      <c r="A8" s="161"/>
      <c r="B8" s="435" t="s">
        <v>215</v>
      </c>
      <c r="C8" s="436"/>
      <c r="D8" s="16">
        <v>721.4</v>
      </c>
      <c r="E8" s="16">
        <v>703.6</v>
      </c>
      <c r="F8" s="16">
        <v>790.6</v>
      </c>
      <c r="G8" s="16">
        <v>879</v>
      </c>
      <c r="H8" s="17">
        <f>G8</f>
        <v>879</v>
      </c>
      <c r="I8" s="16">
        <v>908.1</v>
      </c>
      <c r="J8" s="16">
        <v>941</v>
      </c>
      <c r="K8" s="16">
        <v>881.1</v>
      </c>
      <c r="L8" s="16">
        <v>883.4</v>
      </c>
      <c r="M8" s="17">
        <f>L8</f>
        <v>883.4</v>
      </c>
      <c r="N8" s="16">
        <v>888</v>
      </c>
      <c r="O8" s="16">
        <v>880.2</v>
      </c>
      <c r="P8" s="16">
        <v>911.2</v>
      </c>
      <c r="Q8" s="101">
        <v>940</v>
      </c>
      <c r="R8" s="17">
        <f>Q8</f>
        <v>940</v>
      </c>
      <c r="S8" s="16">
        <v>1031.0999999999999</v>
      </c>
      <c r="T8" s="16">
        <v>1001.9</v>
      </c>
      <c r="U8" s="16">
        <v>1146.0999999999999</v>
      </c>
      <c r="V8" s="16">
        <f>'IS (Base-Case)'!V8/V47</f>
        <v>1064.1520072753249</v>
      </c>
      <c r="W8" s="17">
        <f>V8</f>
        <v>1064.1520072753249</v>
      </c>
      <c r="X8" s="16">
        <f>'IS (Base-Case)'!X8/X47</f>
        <v>1119.7626094038656</v>
      </c>
      <c r="Y8" s="16">
        <f>'IS (Base-Case)'!Y8/Y47</f>
        <v>1167.4042397194328</v>
      </c>
      <c r="Z8" s="16">
        <f>'IS (Base-Case)'!Z8/Z47</f>
        <v>1369.713028487625</v>
      </c>
      <c r="AA8" s="16">
        <f>'IS (Base-Case)'!AA8/AA47</f>
        <v>1201.0727677629843</v>
      </c>
      <c r="AB8" s="17">
        <f>AA8</f>
        <v>1201.0727677629843</v>
      </c>
      <c r="AC8" s="16">
        <f>'IS (Base-Case)'!AC8/AC47</f>
        <v>1261.7487849685679</v>
      </c>
      <c r="AD8" s="16">
        <f>'IS (Base-Case)'!AD8/AD47</f>
        <v>1233.6102679930627</v>
      </c>
      <c r="AE8" s="16">
        <f>'IS (Base-Case)'!AE8/AE47</f>
        <v>1372.7604456345728</v>
      </c>
      <c r="AF8" s="16">
        <f>'IS (Base-Case)'!AF8/AF47</f>
        <v>1278.6956910645613</v>
      </c>
      <c r="AG8" s="17">
        <f>AF8</f>
        <v>1278.6956910645613</v>
      </c>
      <c r="AH8" s="16">
        <f>'IS (Base-Case)'!AH8/AH47</f>
        <v>1400.139003961182</v>
      </c>
      <c r="AI8" s="16">
        <f>'IS (Base-Case)'!AI8/AI47</f>
        <v>1381.7201777106686</v>
      </c>
      <c r="AJ8" s="16">
        <f>'IS (Base-Case)'!AJ8/AJ47</f>
        <v>1594.2135043198928</v>
      </c>
      <c r="AK8" s="16">
        <f>'IS (Base-Case)'!AK8/AK47</f>
        <v>1463.4294840280752</v>
      </c>
      <c r="AL8" s="17">
        <f>AK8</f>
        <v>1463.4294840280752</v>
      </c>
      <c r="AM8" s="16">
        <f>'IS (Base-Case)'!AM8/AM47</f>
        <v>1543.7879429319219</v>
      </c>
      <c r="AN8" s="16">
        <f>'IS (Base-Case)'!AN8/AN47</f>
        <v>1525.8328187019108</v>
      </c>
      <c r="AO8" s="16">
        <f>'IS (Base-Case)'!AO8/AO47</f>
        <v>1743.0225810365534</v>
      </c>
      <c r="AP8" s="16">
        <f>'IS (Base-Case)'!AP8/AP47</f>
        <v>1583.5109827453898</v>
      </c>
      <c r="AQ8" s="17">
        <f>AP8</f>
        <v>1583.5109827453898</v>
      </c>
      <c r="AR8" s="16">
        <f>'IS (Base-Case)'!AR8/AR47</f>
        <v>1644.4548002791869</v>
      </c>
      <c r="AS8" s="16">
        <f>'IS (Base-Case)'!AS8/AS47</f>
        <v>1611.5568849281378</v>
      </c>
      <c r="AT8" s="16">
        <f>'IS (Base-Case)'!AT8/AT47</f>
        <v>1826.2350509759381</v>
      </c>
      <c r="AU8" s="16">
        <f>'IS (Base-Case)'!AU8/AU47</f>
        <v>1677.3204940394201</v>
      </c>
      <c r="AV8" s="17">
        <f>AU8</f>
        <v>1677.3204940394201</v>
      </c>
    </row>
    <row r="9" spans="1:48" s="23" customFormat="1" ht="14.55" customHeight="1" outlineLevel="1" x14ac:dyDescent="0.3">
      <c r="A9" s="161"/>
      <c r="B9" s="200" t="s">
        <v>216</v>
      </c>
      <c r="C9" s="201"/>
      <c r="D9" s="16">
        <v>1354.6</v>
      </c>
      <c r="E9" s="16">
        <v>1443</v>
      </c>
      <c r="F9" s="16">
        <v>1517.2</v>
      </c>
      <c r="G9" s="16">
        <v>1529.4</v>
      </c>
      <c r="H9" s="17">
        <f>G9</f>
        <v>1529.4</v>
      </c>
      <c r="I9" s="16">
        <v>1408.7</v>
      </c>
      <c r="J9" s="16">
        <v>1492.2</v>
      </c>
      <c r="K9" s="16">
        <v>1583.8</v>
      </c>
      <c r="L9" s="16">
        <v>1551.4</v>
      </c>
      <c r="M9" s="17">
        <f>L9</f>
        <v>1551.4</v>
      </c>
      <c r="N9" s="16">
        <v>1471.5</v>
      </c>
      <c r="O9" s="16">
        <v>1503.6</v>
      </c>
      <c r="P9" s="16">
        <v>1548.2</v>
      </c>
      <c r="Q9" s="101">
        <v>1603.9</v>
      </c>
      <c r="R9" s="17">
        <f>Q9</f>
        <v>1603.9</v>
      </c>
      <c r="S9" s="16">
        <v>1637.1</v>
      </c>
      <c r="T9" s="16">
        <v>1920</v>
      </c>
      <c r="U9" s="16">
        <v>2132.9</v>
      </c>
      <c r="V9" s="16">
        <f>'IS (Base-Case)'!V9/V49</f>
        <v>1902.7231489483838</v>
      </c>
      <c r="W9" s="17">
        <f>V9</f>
        <v>1902.7231489483838</v>
      </c>
      <c r="X9" s="16">
        <f>'IS (Base-Case)'!X9/X49</f>
        <v>1851.7543128163065</v>
      </c>
      <c r="Y9" s="16">
        <f>'IS (Base-Case)'!Y9/Y49</f>
        <v>2050.098692430362</v>
      </c>
      <c r="Z9" s="16">
        <f>'IS (Base-Case)'!Z9/Z49</f>
        <v>2468.761178454195</v>
      </c>
      <c r="AA9" s="16">
        <f>'IS (Base-Case)'!AA9/AA49</f>
        <v>2089.9509848914354</v>
      </c>
      <c r="AB9" s="17">
        <f>AA9</f>
        <v>2089.9509848914354</v>
      </c>
      <c r="AC9" s="16">
        <f>'IS (Base-Case)'!AC9/AC49</f>
        <v>2040.9283641953671</v>
      </c>
      <c r="AD9" s="16">
        <f>'IS (Base-Case)'!AD9/AD49</f>
        <v>2218.2216910770321</v>
      </c>
      <c r="AE9" s="16">
        <f>'IS (Base-Case)'!AE9/AE49</f>
        <v>2510.1533511914272</v>
      </c>
      <c r="AF9" s="16">
        <f>'IS (Base-Case)'!AF9/AF49</f>
        <v>2274.2541110919333</v>
      </c>
      <c r="AG9" s="17">
        <f>AF9</f>
        <v>2274.2541110919333</v>
      </c>
      <c r="AH9" s="16">
        <f>'IS (Base-Case)'!AH9/AH49</f>
        <v>2216.6583975654535</v>
      </c>
      <c r="AI9" s="16">
        <f>'IS (Base-Case)'!AI9/AI49</f>
        <v>2462.5717169622926</v>
      </c>
      <c r="AJ9" s="16">
        <f>'IS (Base-Case)'!AJ9/AJ49</f>
        <v>2864.6506782031915</v>
      </c>
      <c r="AK9" s="16">
        <f>'IS (Base-Case)'!AK9/AK49</f>
        <v>2580.8801353842241</v>
      </c>
      <c r="AL9" s="17">
        <f>AK9</f>
        <v>2580.8801353842241</v>
      </c>
      <c r="AM9" s="16">
        <f>'IS (Base-Case)'!AM9/AM49</f>
        <v>2451.986788126701</v>
      </c>
      <c r="AN9" s="16">
        <f>'IS (Base-Case)'!AN9/AN49</f>
        <v>2674.4844780993444</v>
      </c>
      <c r="AO9" s="16">
        <f>'IS (Base-Case)'!AO9/AO49</f>
        <v>3109.433722006007</v>
      </c>
      <c r="AP9" s="16">
        <f>'IS (Base-Case)'!AP9/AP49</f>
        <v>2788.5324102113073</v>
      </c>
      <c r="AQ9" s="17">
        <f>AP9</f>
        <v>2788.5324102113073</v>
      </c>
      <c r="AR9" s="16">
        <f>'IS (Base-Case)'!AR9/AR49</f>
        <v>2612.3786046199316</v>
      </c>
      <c r="AS9" s="16">
        <f>'IS (Base-Case)'!AS9/AS49</f>
        <v>2846.5897264728869</v>
      </c>
      <c r="AT9" s="16">
        <f>'IS (Base-Case)'!AT9/AT49</f>
        <v>3267.2061504761887</v>
      </c>
      <c r="AU9" s="16">
        <f>'IS (Base-Case)'!AU9/AU49</f>
        <v>2950.2952697121123</v>
      </c>
      <c r="AV9" s="17">
        <f>AU9</f>
        <v>2950.2952697121123</v>
      </c>
    </row>
    <row r="10" spans="1:48" ht="16.2" customHeight="1" outlineLevel="1" x14ac:dyDescent="0.45">
      <c r="A10" s="161"/>
      <c r="B10" s="435" t="s">
        <v>217</v>
      </c>
      <c r="C10" s="436"/>
      <c r="D10" s="260">
        <v>608.5</v>
      </c>
      <c r="E10" s="112">
        <v>674</v>
      </c>
      <c r="F10" s="112">
        <v>591.6</v>
      </c>
      <c r="G10" s="112">
        <v>488.2</v>
      </c>
      <c r="H10" s="261">
        <f>G10</f>
        <v>488.2</v>
      </c>
      <c r="I10" s="112">
        <v>474</v>
      </c>
      <c r="J10" s="112">
        <v>691.5</v>
      </c>
      <c r="K10" s="112">
        <v>920.3</v>
      </c>
      <c r="L10" s="112">
        <v>739.5</v>
      </c>
      <c r="M10" s="261">
        <f>L10</f>
        <v>739.5</v>
      </c>
      <c r="N10" s="112">
        <v>734.4</v>
      </c>
      <c r="O10" s="112">
        <v>592</v>
      </c>
      <c r="P10" s="112">
        <v>565.6</v>
      </c>
      <c r="Q10" s="112">
        <v>594.6</v>
      </c>
      <c r="R10" s="261">
        <f>Q10</f>
        <v>594.6</v>
      </c>
      <c r="S10" s="112">
        <v>530.1</v>
      </c>
      <c r="T10" s="112">
        <v>623.70000000000005</v>
      </c>
      <c r="U10" s="112">
        <v>534.1</v>
      </c>
      <c r="V10" s="32">
        <f>U10*1.01</f>
        <v>539.44100000000003</v>
      </c>
      <c r="W10" s="261">
        <f>V10</f>
        <v>539.44100000000003</v>
      </c>
      <c r="X10" s="32">
        <f>V10*1.01</f>
        <v>544.83541000000002</v>
      </c>
      <c r="Y10" s="32">
        <f>X10*1.01</f>
        <v>550.28376409999998</v>
      </c>
      <c r="Z10" s="32">
        <f>Y10*1.01</f>
        <v>555.78660174100003</v>
      </c>
      <c r="AA10" s="32">
        <f>Z10*1.01</f>
        <v>561.34446775841002</v>
      </c>
      <c r="AB10" s="261">
        <f>AA10</f>
        <v>561.34446775841002</v>
      </c>
      <c r="AC10" s="32">
        <f>AA10*1.01</f>
        <v>566.9579124359941</v>
      </c>
      <c r="AD10" s="32">
        <f>AC10*1.01</f>
        <v>572.62749156035409</v>
      </c>
      <c r="AE10" s="32">
        <f>AD10*1.01</f>
        <v>578.35376647595763</v>
      </c>
      <c r="AF10" s="32">
        <f>AE10*1.01</f>
        <v>584.13730414071722</v>
      </c>
      <c r="AG10" s="261">
        <f>AF10</f>
        <v>584.13730414071722</v>
      </c>
      <c r="AH10" s="32">
        <f>AF10*1.01</f>
        <v>589.97867718212444</v>
      </c>
      <c r="AI10" s="32">
        <f>AH10*1.01</f>
        <v>595.8784639539457</v>
      </c>
      <c r="AJ10" s="32">
        <f>AI10*1.01</f>
        <v>601.83724859348513</v>
      </c>
      <c r="AK10" s="32">
        <f>AJ10*1.01</f>
        <v>607.85562107941996</v>
      </c>
      <c r="AL10" s="261">
        <f>AK10</f>
        <v>607.85562107941996</v>
      </c>
      <c r="AM10" s="32">
        <f>AK10*1.01</f>
        <v>613.93417729021417</v>
      </c>
      <c r="AN10" s="32">
        <f>AM10*1.01</f>
        <v>620.07351906311635</v>
      </c>
      <c r="AO10" s="32">
        <f>AN10*1.01</f>
        <v>626.27425425374747</v>
      </c>
      <c r="AP10" s="32">
        <f>AO10*1.01</f>
        <v>632.53699679628494</v>
      </c>
      <c r="AQ10" s="261">
        <f>AP10</f>
        <v>632.53699679628494</v>
      </c>
      <c r="AR10" s="32">
        <f>AP10*1.01</f>
        <v>638.86236676424778</v>
      </c>
      <c r="AS10" s="32">
        <f>AR10*1.01</f>
        <v>645.25099043189027</v>
      </c>
      <c r="AT10" s="32">
        <f>AS10*1.01</f>
        <v>651.70350033620923</v>
      </c>
      <c r="AU10" s="32">
        <f>AT10*1.01</f>
        <v>658.22053533957137</v>
      </c>
      <c r="AV10" s="261">
        <f>AU10</f>
        <v>658.22053533957137</v>
      </c>
    </row>
    <row r="11" spans="1:48" ht="14.55" customHeight="1" outlineLevel="1" x14ac:dyDescent="0.3">
      <c r="A11" s="161"/>
      <c r="B11" s="205" t="s">
        <v>218</v>
      </c>
      <c r="C11" s="206"/>
      <c r="D11" s="21">
        <f t="shared" ref="D11:AV11" si="0">SUM(D6:D10)</f>
        <v>7676.2999999999993</v>
      </c>
      <c r="E11" s="21">
        <f t="shared" si="0"/>
        <v>4952.3</v>
      </c>
      <c r="F11" s="21">
        <f t="shared" si="0"/>
        <v>7734.9000000000024</v>
      </c>
      <c r="G11" s="21">
        <f t="shared" si="0"/>
        <v>5653.7000000000016</v>
      </c>
      <c r="H11" s="22">
        <f t="shared" si="0"/>
        <v>5653.7000000000016</v>
      </c>
      <c r="I11" s="21">
        <f t="shared" si="0"/>
        <v>5899.7000000000035</v>
      </c>
      <c r="J11" s="21">
        <f t="shared" si="0"/>
        <v>5749.9000000000033</v>
      </c>
      <c r="K11" s="21">
        <f t="shared" si="0"/>
        <v>7581.0000000000045</v>
      </c>
      <c r="L11" s="116">
        <f t="shared" si="0"/>
        <v>7806.4000000000051</v>
      </c>
      <c r="M11" s="22">
        <f t="shared" si="0"/>
        <v>7806.4000000000051</v>
      </c>
      <c r="N11" s="21">
        <f t="shared" si="0"/>
        <v>8357.4000000000106</v>
      </c>
      <c r="O11" s="21">
        <f t="shared" si="0"/>
        <v>6979.4000000000106</v>
      </c>
      <c r="P11" s="21">
        <f t="shared" si="0"/>
        <v>7931.7000000000098</v>
      </c>
      <c r="Q11" s="116">
        <f t="shared" si="0"/>
        <v>9756.4000000000087</v>
      </c>
      <c r="R11" s="22">
        <f t="shared" si="0"/>
        <v>9756.4000000000087</v>
      </c>
      <c r="S11" s="21">
        <f t="shared" si="0"/>
        <v>7255.1000000000076</v>
      </c>
      <c r="T11" s="21">
        <f t="shared" si="0"/>
        <v>7541.1000000000076</v>
      </c>
      <c r="U11" s="21">
        <f t="shared" si="0"/>
        <v>7067.5000000000073</v>
      </c>
      <c r="V11" s="21">
        <f t="shared" si="0"/>
        <v>6854.51607671079</v>
      </c>
      <c r="W11" s="22">
        <f t="shared" si="0"/>
        <v>6854.51607671079</v>
      </c>
      <c r="X11" s="21">
        <f t="shared" si="0"/>
        <v>7268.6557931390107</v>
      </c>
      <c r="Y11" s="21">
        <f t="shared" si="0"/>
        <v>7015.3405081425853</v>
      </c>
      <c r="Z11" s="21">
        <f t="shared" si="0"/>
        <v>7403.2382380594108</v>
      </c>
      <c r="AA11" s="21">
        <f t="shared" si="0"/>
        <v>7460.4229486603163</v>
      </c>
      <c r="AB11" s="22">
        <f t="shared" si="0"/>
        <v>7460.4229486603163</v>
      </c>
      <c r="AC11" s="21">
        <f t="shared" si="0"/>
        <v>8273.5003928463339</v>
      </c>
      <c r="AD11" s="21">
        <f t="shared" si="0"/>
        <v>8187.4033794342522</v>
      </c>
      <c r="AE11" s="21">
        <f t="shared" si="0"/>
        <v>8658.936919704036</v>
      </c>
      <c r="AF11" s="21">
        <f t="shared" si="0"/>
        <v>8879.2277579529091</v>
      </c>
      <c r="AG11" s="22">
        <f t="shared" si="0"/>
        <v>8879.2277579529091</v>
      </c>
      <c r="AH11" s="21">
        <f t="shared" si="0"/>
        <v>9823.7577024396251</v>
      </c>
      <c r="AI11" s="21">
        <f t="shared" si="0"/>
        <v>9817.9343769831376</v>
      </c>
      <c r="AJ11" s="21">
        <f t="shared" si="0"/>
        <v>10796.555605778227</v>
      </c>
      <c r="AK11" s="21">
        <f t="shared" si="0"/>
        <v>6170.6141288339841</v>
      </c>
      <c r="AL11" s="22">
        <f t="shared" si="0"/>
        <v>6170.6141288339841</v>
      </c>
      <c r="AM11" s="21">
        <f t="shared" si="0"/>
        <v>7015.560549175224</v>
      </c>
      <c r="AN11" s="21">
        <f t="shared" si="0"/>
        <v>6844.9360813098074</v>
      </c>
      <c r="AO11" s="21">
        <f t="shared" si="0"/>
        <v>7556.3225582709747</v>
      </c>
      <c r="AP11" s="21">
        <f t="shared" si="0"/>
        <v>7809.6390133180366</v>
      </c>
      <c r="AQ11" s="22">
        <f t="shared" si="0"/>
        <v>7809.6390133180366</v>
      </c>
      <c r="AR11" s="21">
        <f t="shared" si="0"/>
        <v>8791.8826712501814</v>
      </c>
      <c r="AS11" s="21">
        <f t="shared" si="0"/>
        <v>8702.5212349700778</v>
      </c>
      <c r="AT11" s="21">
        <f t="shared" si="0"/>
        <v>9521.6676955517923</v>
      </c>
      <c r="AU11" s="21">
        <f t="shared" si="0"/>
        <v>9863.6769422775324</v>
      </c>
      <c r="AV11" s="22">
        <f t="shared" si="0"/>
        <v>9863.6769422775324</v>
      </c>
    </row>
    <row r="12" spans="1:48" ht="14.55" customHeight="1" outlineLevel="1" x14ac:dyDescent="0.3">
      <c r="A12" s="161"/>
      <c r="B12" s="200" t="s">
        <v>219</v>
      </c>
      <c r="C12" s="207"/>
      <c r="D12" s="16">
        <v>265</v>
      </c>
      <c r="E12" s="16">
        <v>251.9</v>
      </c>
      <c r="F12" s="16">
        <v>222.6</v>
      </c>
      <c r="G12" s="16">
        <v>220</v>
      </c>
      <c r="H12" s="17">
        <f t="shared" ref="H12:H18" si="1">+G12</f>
        <v>220</v>
      </c>
      <c r="I12" s="16">
        <v>199.8</v>
      </c>
      <c r="J12" s="16">
        <v>198.8</v>
      </c>
      <c r="K12" s="16">
        <v>223.4</v>
      </c>
      <c r="L12" s="101">
        <v>206.1</v>
      </c>
      <c r="M12" s="17">
        <f>+L12</f>
        <v>206.1</v>
      </c>
      <c r="N12" s="16">
        <v>190.9</v>
      </c>
      <c r="O12" s="16">
        <v>284.8</v>
      </c>
      <c r="P12" s="16">
        <v>285.89999999999998</v>
      </c>
      <c r="Q12" s="101">
        <v>281.7</v>
      </c>
      <c r="R12" s="17">
        <f>+Q12</f>
        <v>281.7</v>
      </c>
      <c r="S12" s="16">
        <v>299.60000000000002</v>
      </c>
      <c r="T12" s="16">
        <v>285.60000000000002</v>
      </c>
      <c r="U12" s="16">
        <v>292.5</v>
      </c>
      <c r="V12" s="16">
        <f>+V53*V42*(1-V54)</f>
        <v>278.02542371047741</v>
      </c>
      <c r="W12" s="17">
        <f>+V12</f>
        <v>278.02542371047741</v>
      </c>
      <c r="X12" s="16">
        <f>+X53*X42*(1-X54)</f>
        <v>291.61142782659624</v>
      </c>
      <c r="Y12" s="16">
        <f>+Y53*Y42*(1-Y54)</f>
        <v>288.32841677541887</v>
      </c>
      <c r="Z12" s="16">
        <f>+Z53*Z42*(1-Z54)</f>
        <v>296.43020937574079</v>
      </c>
      <c r="AA12" s="16">
        <f>+AA53*AA42*(1-AA54)</f>
        <v>297.56128951698344</v>
      </c>
      <c r="AB12" s="17">
        <f>+AA12</f>
        <v>297.56128951698344</v>
      </c>
      <c r="AC12" s="16">
        <f>+AC53*AC42*(1-AC54)</f>
        <v>310.11128959656003</v>
      </c>
      <c r="AD12" s="16">
        <f>+AD53*AD42*(1-AD54)</f>
        <v>309.39217752915346</v>
      </c>
      <c r="AE12" s="16">
        <f>+AE53*AE42*(1-AE54)</f>
        <v>316.23818080957267</v>
      </c>
      <c r="AF12" s="16">
        <f>+AF53*AF42*(1-AF54)</f>
        <v>320.10827883374321</v>
      </c>
      <c r="AG12" s="17">
        <f>+AF12</f>
        <v>320.10827883374321</v>
      </c>
      <c r="AH12" s="16">
        <f>+AH53*AH42*(1-AH54)</f>
        <v>332.81775730189372</v>
      </c>
      <c r="AI12" s="16">
        <f>+AI53*AI42*(1-AI54)</f>
        <v>332.6080089633229</v>
      </c>
      <c r="AJ12" s="16">
        <f>+AJ53*AJ42*(1-AJ54)</f>
        <v>344.16003971778889</v>
      </c>
      <c r="AK12" s="16">
        <f>+AK53*AK42*(1-AK54)</f>
        <v>297.26108417174453</v>
      </c>
      <c r="AL12" s="17">
        <f>+AK12</f>
        <v>297.26108417174453</v>
      </c>
      <c r="AM12" s="16">
        <f>+AM53*AM42*(1-AM54)</f>
        <v>309.22042944027385</v>
      </c>
      <c r="AN12" s="16">
        <f>+AN53*AN42*(1-AN54)</f>
        <v>307.48512659365275</v>
      </c>
      <c r="AO12" s="16">
        <f>+AO53*AO42*(1-AO54)</f>
        <v>316.48173879718416</v>
      </c>
      <c r="AP12" s="16">
        <f>+AP53*AP42*(1-AP54)</f>
        <v>320.77400844623185</v>
      </c>
      <c r="AQ12" s="17">
        <f>+AP12</f>
        <v>320.77400844623185</v>
      </c>
      <c r="AR12" s="16">
        <f>+AR53*AR42*(1-AR54)</f>
        <v>334.33093851797014</v>
      </c>
      <c r="AS12" s="16">
        <f>+AS53*AS42*(1-AS54)</f>
        <v>333.39244868257458</v>
      </c>
      <c r="AT12" s="16">
        <f>+AT53*AT42*(1-AT54)</f>
        <v>343.57247912176206</v>
      </c>
      <c r="AU12" s="16">
        <f>+AU53*AU42*(1-AU54)</f>
        <v>348.86300420722688</v>
      </c>
      <c r="AV12" s="17">
        <f>+AU12</f>
        <v>348.86300420722688</v>
      </c>
    </row>
    <row r="13" spans="1:48" ht="14.55" customHeight="1" outlineLevel="1" x14ac:dyDescent="0.3">
      <c r="A13" s="161"/>
      <c r="B13" s="200" t="s">
        <v>220</v>
      </c>
      <c r="C13" s="207"/>
      <c r="D13" s="16">
        <v>336.1</v>
      </c>
      <c r="E13" s="16">
        <v>309.3</v>
      </c>
      <c r="F13" s="16">
        <v>340.3</v>
      </c>
      <c r="G13" s="16">
        <v>396</v>
      </c>
      <c r="H13" s="17">
        <f t="shared" si="1"/>
        <v>396</v>
      </c>
      <c r="I13" s="16">
        <v>411.3</v>
      </c>
      <c r="J13" s="16">
        <v>420.9</v>
      </c>
      <c r="K13" s="16">
        <v>426.1</v>
      </c>
      <c r="L13" s="101">
        <v>478.7</v>
      </c>
      <c r="M13" s="17">
        <f>+L13</f>
        <v>478.7</v>
      </c>
      <c r="N13" s="16">
        <v>496</v>
      </c>
      <c r="O13" s="16">
        <v>499.4</v>
      </c>
      <c r="P13" s="16">
        <v>535.29999999999995</v>
      </c>
      <c r="Q13" s="101">
        <v>268.5</v>
      </c>
      <c r="R13" s="17">
        <f>+Q13</f>
        <v>268.5</v>
      </c>
      <c r="S13" s="16">
        <v>251.9</v>
      </c>
      <c r="T13" s="16">
        <v>270.8</v>
      </c>
      <c r="U13" s="16">
        <v>302.7</v>
      </c>
      <c r="V13" s="33">
        <f>U13</f>
        <v>302.7</v>
      </c>
      <c r="W13" s="17">
        <f>+V13</f>
        <v>302.7</v>
      </c>
      <c r="X13" s="33">
        <f>V13</f>
        <v>302.7</v>
      </c>
      <c r="Y13" s="33">
        <f>X13</f>
        <v>302.7</v>
      </c>
      <c r="Z13" s="33">
        <f>Y13</f>
        <v>302.7</v>
      </c>
      <c r="AA13" s="33">
        <f>Z13</f>
        <v>302.7</v>
      </c>
      <c r="AB13" s="17">
        <f>+AA13</f>
        <v>302.7</v>
      </c>
      <c r="AC13" s="33">
        <f>AA13</f>
        <v>302.7</v>
      </c>
      <c r="AD13" s="33">
        <f>AC13</f>
        <v>302.7</v>
      </c>
      <c r="AE13" s="33">
        <f>AD13</f>
        <v>302.7</v>
      </c>
      <c r="AF13" s="33">
        <f>AE13</f>
        <v>302.7</v>
      </c>
      <c r="AG13" s="17">
        <f>+AF13</f>
        <v>302.7</v>
      </c>
      <c r="AH13" s="33">
        <f>AF13</f>
        <v>302.7</v>
      </c>
      <c r="AI13" s="33">
        <f>AH13</f>
        <v>302.7</v>
      </c>
      <c r="AJ13" s="33">
        <f>AI13</f>
        <v>302.7</v>
      </c>
      <c r="AK13" s="33">
        <f>AJ13</f>
        <v>302.7</v>
      </c>
      <c r="AL13" s="17">
        <f>+AK13</f>
        <v>302.7</v>
      </c>
      <c r="AM13" s="33">
        <f>AK13</f>
        <v>302.7</v>
      </c>
      <c r="AN13" s="33">
        <f>AM13</f>
        <v>302.7</v>
      </c>
      <c r="AO13" s="33">
        <f>AN13</f>
        <v>302.7</v>
      </c>
      <c r="AP13" s="33">
        <f>AO13</f>
        <v>302.7</v>
      </c>
      <c r="AQ13" s="17">
        <f>+AP13</f>
        <v>302.7</v>
      </c>
      <c r="AR13" s="33">
        <f>AP13</f>
        <v>302.7</v>
      </c>
      <c r="AS13" s="33">
        <f>AR13</f>
        <v>302.7</v>
      </c>
      <c r="AT13" s="33">
        <f>AS13</f>
        <v>302.7</v>
      </c>
      <c r="AU13" s="33">
        <f>AT13</f>
        <v>302.7</v>
      </c>
      <c r="AV13" s="17">
        <f>+AU13</f>
        <v>302.7</v>
      </c>
    </row>
    <row r="14" spans="1:48" s="8" customFormat="1" outlineLevel="1" x14ac:dyDescent="0.3">
      <c r="A14" s="161"/>
      <c r="B14" s="200" t="s">
        <v>221</v>
      </c>
      <c r="C14" s="206"/>
      <c r="D14" s="16">
        <v>6039.3</v>
      </c>
      <c r="E14" s="16">
        <v>6135.5</v>
      </c>
      <c r="F14" s="16">
        <v>6187.8</v>
      </c>
      <c r="G14" s="16">
        <v>6431.7</v>
      </c>
      <c r="H14" s="17">
        <f t="shared" si="1"/>
        <v>6431.7</v>
      </c>
      <c r="I14" s="16">
        <v>6390.9</v>
      </c>
      <c r="J14" s="16">
        <v>6387</v>
      </c>
      <c r="K14" s="16">
        <v>6295.6</v>
      </c>
      <c r="L14" s="101">
        <v>6241.4</v>
      </c>
      <c r="M14" s="17">
        <f>+L14</f>
        <v>6241.4</v>
      </c>
      <c r="N14" s="16">
        <v>6177.9</v>
      </c>
      <c r="O14" s="16">
        <v>6123.1</v>
      </c>
      <c r="P14" s="16">
        <v>6151.4</v>
      </c>
      <c r="Q14" s="101">
        <v>6369.5</v>
      </c>
      <c r="R14" s="17">
        <f>+Q14</f>
        <v>6369.5</v>
      </c>
      <c r="S14" s="16">
        <v>6398</v>
      </c>
      <c r="T14" s="16">
        <v>6460.8</v>
      </c>
      <c r="U14" s="101">
        <v>6408.2</v>
      </c>
      <c r="V14" s="16">
        <f>+U14-'CFS (Base-Case)'!V25-'CFS (Base-Case)'!V7</f>
        <v>6507.1394525996957</v>
      </c>
      <c r="W14" s="17">
        <f>+V14</f>
        <v>6507.1394525996957</v>
      </c>
      <c r="X14" s="16">
        <f>+V14-'CFS (Base-Case)'!X25-'CFS (Base-Case)'!X7</f>
        <v>6780.7260565265406</v>
      </c>
      <c r="Y14" s="16">
        <f>+X14-'CFS (Base-Case)'!Y25-'CFS (Base-Case)'!Y7</f>
        <v>7016.1560894579852</v>
      </c>
      <c r="Z14" s="16">
        <f>+Y14-'CFS (Base-Case)'!Z25-'CFS (Base-Case)'!Z7</f>
        <v>7299.0075363328833</v>
      </c>
      <c r="AA14" s="16">
        <f>+Z14-'CFS (Base-Case)'!AA25-'CFS (Base-Case)'!AA7</f>
        <v>7580.8951646104424</v>
      </c>
      <c r="AB14" s="17">
        <f>+AA14</f>
        <v>7580.8951646104424</v>
      </c>
      <c r="AC14" s="16">
        <f>+AA14-'CFS (Base-Case)'!AC25-'CFS (Base-Case)'!AC7</f>
        <v>7800.4449198549983</v>
      </c>
      <c r="AD14" s="16">
        <f>+AC14-'CFS (Base-Case)'!AD25-'CFS (Base-Case)'!AD7</f>
        <v>7969.5478596672592</v>
      </c>
      <c r="AE14" s="16">
        <f>+AD14-'CFS (Base-Case)'!AE25-'CFS (Base-Case)'!AE7</f>
        <v>8190.1467735439346</v>
      </c>
      <c r="AF14" s="16">
        <f>+AE14-'CFS (Base-Case)'!AF25-'CFS (Base-Case)'!AF7</f>
        <v>8415.5239461671899</v>
      </c>
      <c r="AG14" s="17">
        <f>+AF14</f>
        <v>8415.5239461671899</v>
      </c>
      <c r="AH14" s="16">
        <f>+AF14-'CFS (Base-Case)'!AH25-'CFS (Base-Case)'!AH7</f>
        <v>8584.1819556512837</v>
      </c>
      <c r="AI14" s="16">
        <f>+AH14-'CFS (Base-Case)'!AI25-'CFS (Base-Case)'!AI7</f>
        <v>8705.037793615953</v>
      </c>
      <c r="AJ14" s="16">
        <f>+AI14-'CFS (Base-Case)'!AJ25-'CFS (Base-Case)'!AJ7</f>
        <v>8880.6614981465318</v>
      </c>
      <c r="AK14" s="16">
        <f>+AJ14-'CFS (Base-Case)'!AK25-'CFS (Base-Case)'!AK7</f>
        <v>9065.3007271530441</v>
      </c>
      <c r="AL14" s="17">
        <f>+AK14</f>
        <v>9065.3007271530441</v>
      </c>
      <c r="AM14" s="16">
        <f>+AK14-'CFS (Base-Case)'!AM25-'CFS (Base-Case)'!AM7</f>
        <v>9262.550018025262</v>
      </c>
      <c r="AN14" s="16">
        <f>+AM14-'CFS (Base-Case)'!AN25-'CFS (Base-Case)'!AN7</f>
        <v>9402.92272851298</v>
      </c>
      <c r="AO14" s="16">
        <f>+AN14-'CFS (Base-Case)'!AO25-'CFS (Base-Case)'!AO7</f>
        <v>9599.925533051779</v>
      </c>
      <c r="AP14" s="16">
        <f>+AO14-'CFS (Base-Case)'!AP25-'CFS (Base-Case)'!AP7</f>
        <v>9804.0612761365082</v>
      </c>
      <c r="AQ14" s="17">
        <f>+AP14</f>
        <v>9804.0612761365082</v>
      </c>
      <c r="AR14" s="16">
        <f>+AP14-'CFS (Base-Case)'!AR25-'CFS (Base-Case)'!AR7</f>
        <v>10005.085738616126</v>
      </c>
      <c r="AS14" s="16">
        <f>+AR14-'CFS (Base-Case)'!AS25-'CFS (Base-Case)'!AS7</f>
        <v>10145.542476662295</v>
      </c>
      <c r="AT14" s="16">
        <f>+AS14-'CFS (Base-Case)'!AT25-'CFS (Base-Case)'!AT7</f>
        <v>10346.640321566085</v>
      </c>
      <c r="AU14" s="16">
        <f>+AT14-'CFS (Base-Case)'!AU25-'CFS (Base-Case)'!AU7</f>
        <v>10556.081551132092</v>
      </c>
      <c r="AV14" s="17">
        <f>+AU14</f>
        <v>10556.081551132092</v>
      </c>
    </row>
    <row r="15" spans="1:48" s="8" customFormat="1" outlineLevel="1" x14ac:dyDescent="0.3">
      <c r="A15" s="161"/>
      <c r="B15" s="200" t="s">
        <v>222</v>
      </c>
      <c r="C15" s="206"/>
      <c r="D15" s="16">
        <v>0</v>
      </c>
      <c r="E15" s="16">
        <v>0</v>
      </c>
      <c r="F15" s="16">
        <v>0</v>
      </c>
      <c r="G15" s="16">
        <v>0</v>
      </c>
      <c r="H15" s="17">
        <f t="shared" si="1"/>
        <v>0</v>
      </c>
      <c r="I15" s="16">
        <v>8358.5</v>
      </c>
      <c r="J15" s="16">
        <v>8260.7999999999993</v>
      </c>
      <c r="K15" s="16">
        <v>8214</v>
      </c>
      <c r="L15" s="101">
        <v>8134.1</v>
      </c>
      <c r="M15" s="17">
        <f>L15</f>
        <v>8134.1</v>
      </c>
      <c r="N15" s="16">
        <v>8199.4</v>
      </c>
      <c r="O15" s="16">
        <v>8036.8</v>
      </c>
      <c r="P15" s="16">
        <v>8065.2</v>
      </c>
      <c r="Q15" s="101">
        <v>8236</v>
      </c>
      <c r="R15" s="17">
        <f>Q15</f>
        <v>8236</v>
      </c>
      <c r="S15" s="16">
        <v>8203.4</v>
      </c>
      <c r="T15" s="16">
        <v>8170.2</v>
      </c>
      <c r="U15" s="101">
        <v>8037.1</v>
      </c>
      <c r="V15" s="33">
        <f>U15*0.996</f>
        <v>8004.9516000000003</v>
      </c>
      <c r="W15" s="17">
        <f>V15</f>
        <v>8004.9516000000003</v>
      </c>
      <c r="X15" s="33">
        <f>V15*0.996</f>
        <v>7972.9317936000007</v>
      </c>
      <c r="Y15" s="33">
        <f>X15*0.996</f>
        <v>7941.0400664256003</v>
      </c>
      <c r="Z15" s="33">
        <f>Y15*0.996</f>
        <v>7909.2759061598981</v>
      </c>
      <c r="AA15" s="33">
        <f>Z15*0.996</f>
        <v>7877.6388025352589</v>
      </c>
      <c r="AB15" s="17">
        <f>AA15</f>
        <v>7877.6388025352589</v>
      </c>
      <c r="AC15" s="33">
        <f>AA15*0.996</f>
        <v>7846.1282473251176</v>
      </c>
      <c r="AD15" s="33">
        <f>AC15*0.996</f>
        <v>7814.743734335817</v>
      </c>
      <c r="AE15" s="33">
        <f>AD15*0.996</f>
        <v>7783.4847593984732</v>
      </c>
      <c r="AF15" s="33">
        <f>AE15*0.996</f>
        <v>7752.350820360879</v>
      </c>
      <c r="AG15" s="17">
        <f>AF15</f>
        <v>7752.350820360879</v>
      </c>
      <c r="AH15" s="33">
        <f>AF15*0.996</f>
        <v>7721.3414170794358</v>
      </c>
      <c r="AI15" s="33">
        <f>AH15*0.996</f>
        <v>7690.4560514111181</v>
      </c>
      <c r="AJ15" s="33">
        <f>AI15*0.996</f>
        <v>7659.6942272054739</v>
      </c>
      <c r="AK15" s="33">
        <f>AJ15*0.996</f>
        <v>7629.0554502966515</v>
      </c>
      <c r="AL15" s="17">
        <f>AK15</f>
        <v>7629.0554502966515</v>
      </c>
      <c r="AM15" s="33">
        <f>AK15*0.996</f>
        <v>7598.5392284954651</v>
      </c>
      <c r="AN15" s="33">
        <f>AM15*0.996</f>
        <v>7568.1450715814835</v>
      </c>
      <c r="AO15" s="33">
        <f>AN15*0.996</f>
        <v>7537.8724912951575</v>
      </c>
      <c r="AP15" s="33">
        <f>AO15*0.996</f>
        <v>7507.7210013299764</v>
      </c>
      <c r="AQ15" s="17">
        <f>AP15</f>
        <v>7507.7210013299764</v>
      </c>
      <c r="AR15" s="33">
        <f>AP15*0.996</f>
        <v>7477.6901173246561</v>
      </c>
      <c r="AS15" s="33">
        <f>AR15*0.996</f>
        <v>7447.779356855357</v>
      </c>
      <c r="AT15" s="33">
        <f>AS15*0.996</f>
        <v>7417.9882394279357</v>
      </c>
      <c r="AU15" s="33">
        <f>AT15*0.996</f>
        <v>7388.3162864702235</v>
      </c>
      <c r="AV15" s="17">
        <f>AU15</f>
        <v>7388.3162864702235</v>
      </c>
    </row>
    <row r="16" spans="1:48" s="8" customFormat="1" outlineLevel="1" x14ac:dyDescent="0.3">
      <c r="A16" s="161"/>
      <c r="B16" s="200" t="s">
        <v>223</v>
      </c>
      <c r="C16" s="206"/>
      <c r="D16" s="16">
        <v>650</v>
      </c>
      <c r="E16" s="16">
        <v>1006.6</v>
      </c>
      <c r="F16" s="16">
        <v>1533</v>
      </c>
      <c r="G16" s="16">
        <v>1765.8</v>
      </c>
      <c r="H16" s="17">
        <f t="shared" si="1"/>
        <v>1765.8</v>
      </c>
      <c r="I16" s="16">
        <v>1731.4</v>
      </c>
      <c r="J16" s="16">
        <v>1709.7</v>
      </c>
      <c r="K16" s="16">
        <v>1740</v>
      </c>
      <c r="L16" s="101">
        <v>1789.9</v>
      </c>
      <c r="M16" s="17">
        <f>+L16</f>
        <v>1789.9</v>
      </c>
      <c r="N16" s="16">
        <v>1792.4</v>
      </c>
      <c r="O16" s="16">
        <v>1770</v>
      </c>
      <c r="P16" s="16">
        <v>1851</v>
      </c>
      <c r="Q16" s="101">
        <v>1874.8</v>
      </c>
      <c r="R16" s="17">
        <f>+Q16</f>
        <v>1874.8</v>
      </c>
      <c r="S16" s="16">
        <v>1859.7</v>
      </c>
      <c r="T16" s="16">
        <v>1809.4</v>
      </c>
      <c r="U16" s="101">
        <v>1752.9</v>
      </c>
      <c r="V16" s="101">
        <f>V55*(V27+V33)</f>
        <v>1781.9610885551483</v>
      </c>
      <c r="W16" s="169">
        <f>+V16</f>
        <v>1781.9610885551483</v>
      </c>
      <c r="X16" s="101">
        <f>X55*(X27+X33)</f>
        <v>1867.4297992146699</v>
      </c>
      <c r="Y16" s="101">
        <f>Y55*(Y27+Y33)</f>
        <v>1790.8144471711594</v>
      </c>
      <c r="Z16" s="101">
        <f>Z55*(Z27+Z33)</f>
        <v>1777.3703618915845</v>
      </c>
      <c r="AA16" s="101">
        <f>AA55*(AA27+AA33)</f>
        <v>1771.5734908146667</v>
      </c>
      <c r="AB16" s="169">
        <f>+AA16</f>
        <v>1771.5734908146667</v>
      </c>
      <c r="AC16" s="101">
        <f>AC55*(AC27+AC33)</f>
        <v>1883.3755386589005</v>
      </c>
      <c r="AD16" s="101">
        <f>AD55*(AD27+AD33)</f>
        <v>1797.8999998333529</v>
      </c>
      <c r="AE16" s="101">
        <f>AE55*(AE27+AE33)</f>
        <v>1786.6340444524201</v>
      </c>
      <c r="AF16" s="101">
        <f>AF55*(AF27+AF33)</f>
        <v>1776.0422144755937</v>
      </c>
      <c r="AG16" s="169">
        <f>+AF16</f>
        <v>1776.0422144755937</v>
      </c>
      <c r="AH16" s="101">
        <f>AH55*(AH27+AH33)</f>
        <v>1901.0967453881703</v>
      </c>
      <c r="AI16" s="101">
        <f>AI55*(AI27+AI33)</f>
        <v>1808.6186750465192</v>
      </c>
      <c r="AJ16" s="101">
        <f>AJ55*(AJ27+AJ33)</f>
        <v>1797.1689793504727</v>
      </c>
      <c r="AK16" s="101">
        <f>AK55*(AK27+AK33)</f>
        <v>1785.8148126834899</v>
      </c>
      <c r="AL16" s="169">
        <f>+AK16</f>
        <v>1785.8148126834899</v>
      </c>
      <c r="AM16" s="101">
        <f>AM55*(AM27+AM33)</f>
        <v>1922.4879994793748</v>
      </c>
      <c r="AN16" s="101">
        <f>AN55*(AN27+AN33)</f>
        <v>1822.8715630117917</v>
      </c>
      <c r="AO16" s="101">
        <f>AO55*(AO27+AO33)</f>
        <v>1811.1237842583951</v>
      </c>
      <c r="AP16" s="101">
        <f>AP55*(AP27+AP33)</f>
        <v>1799.4549469665769</v>
      </c>
      <c r="AQ16" s="169">
        <f>+AP16</f>
        <v>1799.4549469665769</v>
      </c>
      <c r="AR16" s="101">
        <f>AR55*(AR27+AR33)</f>
        <v>1948.2320195489522</v>
      </c>
      <c r="AS16" s="101">
        <f>AS55*(AS27+AS33)</f>
        <v>1840.9816660405222</v>
      </c>
      <c r="AT16" s="101">
        <f>AT55*(AT27+AT33)</f>
        <v>1828.9187893622116</v>
      </c>
      <c r="AU16" s="101">
        <f>AU55*(AU27+AU33)</f>
        <v>1816.9434358010662</v>
      </c>
      <c r="AV16" s="17">
        <f>+AU16</f>
        <v>1816.9434358010662</v>
      </c>
    </row>
    <row r="17" spans="1:48" s="8" customFormat="1" outlineLevel="1" x14ac:dyDescent="0.3">
      <c r="A17" s="161"/>
      <c r="B17" s="200" t="s">
        <v>224</v>
      </c>
      <c r="C17" s="206"/>
      <c r="D17" s="16">
        <v>472.7</v>
      </c>
      <c r="E17" s="16">
        <v>464.5</v>
      </c>
      <c r="F17" s="16">
        <v>458</v>
      </c>
      <c r="G17" s="16">
        <v>479.6</v>
      </c>
      <c r="H17" s="17">
        <f t="shared" si="1"/>
        <v>479.6</v>
      </c>
      <c r="I17" s="16">
        <v>484.7</v>
      </c>
      <c r="J17" s="16">
        <v>580.1</v>
      </c>
      <c r="K17" s="16">
        <v>550.79999999999995</v>
      </c>
      <c r="L17" s="101">
        <v>568.6</v>
      </c>
      <c r="M17" s="17">
        <f>+L17</f>
        <v>568.6</v>
      </c>
      <c r="N17" s="16">
        <v>541.1</v>
      </c>
      <c r="O17" s="16">
        <v>574.9</v>
      </c>
      <c r="P17" s="16">
        <v>586.29999999999995</v>
      </c>
      <c r="Q17" s="101">
        <v>578.5</v>
      </c>
      <c r="R17" s="17">
        <f>+Q17</f>
        <v>578.5</v>
      </c>
      <c r="S17" s="16">
        <v>588</v>
      </c>
      <c r="T17" s="16">
        <v>582.79999999999995</v>
      </c>
      <c r="U17" s="101">
        <v>640.70000000000005</v>
      </c>
      <c r="V17" s="33">
        <f>+U17*(V42/U42)</f>
        <v>637.25664391916609</v>
      </c>
      <c r="W17" s="17">
        <f>+V17</f>
        <v>637.25664391916609</v>
      </c>
      <c r="X17" s="33">
        <f>+V17*(X42/V42)</f>
        <v>654.48271963938782</v>
      </c>
      <c r="Y17" s="33">
        <f>+X17*(Y42/X42)</f>
        <v>651.14252556768281</v>
      </c>
      <c r="Z17" s="33">
        <f>+Y17*(Z42/Y42)</f>
        <v>665.6018922691344</v>
      </c>
      <c r="AA17" s="33">
        <f>+Z17*(AA42/Z42)</f>
        <v>672.38045887251747</v>
      </c>
      <c r="AB17" s="17">
        <f>+AA17</f>
        <v>672.38045887251747</v>
      </c>
      <c r="AC17" s="33">
        <f>+AA17*(AC42/AA42)</f>
        <v>698.33733976312487</v>
      </c>
      <c r="AD17" s="33">
        <f>+AC17*(AD42/AC42)</f>
        <v>697.30255539165535</v>
      </c>
      <c r="AE17" s="33">
        <f>+AD17*(AE42/AD42)</f>
        <v>712.37674854059139</v>
      </c>
      <c r="AF17" s="33">
        <f>+AE17*(AF42/AE42)</f>
        <v>721.67822654359713</v>
      </c>
      <c r="AG17" s="17">
        <f>+AF17</f>
        <v>721.67822654359713</v>
      </c>
      <c r="AH17" s="33">
        <f>+AF17*(AH42/AF42)</f>
        <v>749.90575989461536</v>
      </c>
      <c r="AI17" s="33">
        <f>+AH17*(AI42/AH42)</f>
        <v>749.54230248262093</v>
      </c>
      <c r="AJ17" s="33">
        <f>+AI17*(AJ42/AI42)</f>
        <v>775.55363378429627</v>
      </c>
      <c r="AK17" s="33">
        <f>+AJ17*(AK42/AJ42)</f>
        <v>669.92849576889978</v>
      </c>
      <c r="AL17" s="17">
        <f>+AK17</f>
        <v>669.92849576889978</v>
      </c>
      <c r="AM17" s="33">
        <f>+AK17*(AM42/AK42)</f>
        <v>696.81826570663907</v>
      </c>
      <c r="AN17" s="33">
        <f>+AM17*(AN42/AM42)</f>
        <v>692.92823178726712</v>
      </c>
      <c r="AO17" s="33">
        <f>+AN17*(AO42/AN42)</f>
        <v>713.20269210771744</v>
      </c>
      <c r="AP17" s="33">
        <f>+AO17*(AP42/AO42)</f>
        <v>722.88085149173116</v>
      </c>
      <c r="AQ17" s="17">
        <f>+AP17</f>
        <v>722.88085149173116</v>
      </c>
      <c r="AR17" s="33">
        <f>+AP17*(AR42/AP42)</f>
        <v>753.42218894689381</v>
      </c>
      <c r="AS17" s="33">
        <f>+AR17*(AS42/AR42)</f>
        <v>751.31181942169394</v>
      </c>
      <c r="AT17" s="33">
        <f>+AS17*(AT42/AS42)</f>
        <v>774.25302488633224</v>
      </c>
      <c r="AU17" s="33">
        <f>+AT17*(AU42/AT42)</f>
        <v>786.1755163394364</v>
      </c>
      <c r="AV17" s="17">
        <f>+AU17</f>
        <v>786.1755163394364</v>
      </c>
    </row>
    <row r="18" spans="1:48" s="8" customFormat="1" outlineLevel="1" x14ac:dyDescent="0.3">
      <c r="A18" s="161"/>
      <c r="B18" s="200" t="s">
        <v>225</v>
      </c>
      <c r="C18" s="206"/>
      <c r="D18" s="16">
        <v>981.6</v>
      </c>
      <c r="E18" s="16">
        <v>918.3</v>
      </c>
      <c r="F18" s="16">
        <v>853.2</v>
      </c>
      <c r="G18" s="16">
        <v>781.8</v>
      </c>
      <c r="H18" s="17">
        <f t="shared" si="1"/>
        <v>781.8</v>
      </c>
      <c r="I18" s="16">
        <v>739.1</v>
      </c>
      <c r="J18" s="16">
        <v>678.7</v>
      </c>
      <c r="K18" s="16">
        <v>599.6</v>
      </c>
      <c r="L18" s="101">
        <v>552.1</v>
      </c>
      <c r="M18" s="17">
        <f>+L18</f>
        <v>552.1</v>
      </c>
      <c r="N18" s="16">
        <v>506.4</v>
      </c>
      <c r="O18" s="16">
        <v>444.3</v>
      </c>
      <c r="P18" s="16">
        <v>398</v>
      </c>
      <c r="Q18" s="101">
        <v>349.9</v>
      </c>
      <c r="R18" s="17">
        <f>+Q18</f>
        <v>349.9</v>
      </c>
      <c r="S18" s="16">
        <v>302.5</v>
      </c>
      <c r="T18" s="16">
        <v>254.7</v>
      </c>
      <c r="U18" s="101">
        <v>203.4</v>
      </c>
      <c r="V18" s="33">
        <f>+U18*0.92</f>
        <v>187.12800000000001</v>
      </c>
      <c r="W18" s="17">
        <f>+V18</f>
        <v>187.12800000000001</v>
      </c>
      <c r="X18" s="33">
        <f>+V18*0.92</f>
        <v>172.15776000000002</v>
      </c>
      <c r="Y18" s="33">
        <f>+X18*0.92</f>
        <v>158.38513920000003</v>
      </c>
      <c r="Z18" s="33">
        <f>+Y18*0.92</f>
        <v>145.71432806400003</v>
      </c>
      <c r="AA18" s="33">
        <f>+Z18*0.92</f>
        <v>134.05718181888003</v>
      </c>
      <c r="AB18" s="17">
        <f>+AA18</f>
        <v>134.05718181888003</v>
      </c>
      <c r="AC18" s="33">
        <f>+AA18*0.92</f>
        <v>123.33260727336963</v>
      </c>
      <c r="AD18" s="33">
        <f>+AC18*0.92</f>
        <v>113.46599869150006</v>
      </c>
      <c r="AE18" s="33">
        <f>+AD18*0.92</f>
        <v>104.38871879618006</v>
      </c>
      <c r="AF18" s="33">
        <f>+AE18*0.92</f>
        <v>96.037621292485653</v>
      </c>
      <c r="AG18" s="17">
        <f>+AF18</f>
        <v>96.037621292485653</v>
      </c>
      <c r="AH18" s="33">
        <f>+AF18*0.92</f>
        <v>88.354611589086801</v>
      </c>
      <c r="AI18" s="33">
        <f>+AH18*0.92</f>
        <v>81.286242661959861</v>
      </c>
      <c r="AJ18" s="33">
        <f>+AI18*0.92</f>
        <v>74.783343249003082</v>
      </c>
      <c r="AK18" s="33">
        <f>+AJ18*0.92</f>
        <v>68.800675789082831</v>
      </c>
      <c r="AL18" s="17">
        <f>+AK18</f>
        <v>68.800675789082831</v>
      </c>
      <c r="AM18" s="33">
        <f>+AK18*0.92</f>
        <v>63.296621725956207</v>
      </c>
      <c r="AN18" s="33">
        <f>+AM18*0.92</f>
        <v>58.232891987879711</v>
      </c>
      <c r="AO18" s="33">
        <f>+AN18*0.92</f>
        <v>53.574260628849338</v>
      </c>
      <c r="AP18" s="33">
        <f>+AO18*0.92</f>
        <v>49.288319778541393</v>
      </c>
      <c r="AQ18" s="17">
        <f>+AP18</f>
        <v>49.288319778541393</v>
      </c>
      <c r="AR18" s="33">
        <f>+AP18*0.92</f>
        <v>45.345254196258082</v>
      </c>
      <c r="AS18" s="33">
        <f>+AR18*0.92</f>
        <v>41.717633860557434</v>
      </c>
      <c r="AT18" s="33">
        <f>+AS18*0.92</f>
        <v>38.38022315171284</v>
      </c>
      <c r="AU18" s="33">
        <f>+AT18*0.92</f>
        <v>35.309805299575814</v>
      </c>
      <c r="AV18" s="17">
        <f>+AU18</f>
        <v>35.309805299575814</v>
      </c>
    </row>
    <row r="19" spans="1:48" ht="16.2" outlineLevel="1" x14ac:dyDescent="0.45">
      <c r="A19" s="161"/>
      <c r="B19" s="435" t="s">
        <v>226</v>
      </c>
      <c r="C19" s="436"/>
      <c r="D19" s="260">
        <v>3560.3</v>
      </c>
      <c r="E19" s="260">
        <v>3603.5</v>
      </c>
      <c r="F19" s="260">
        <v>3564.7</v>
      </c>
      <c r="G19" s="260">
        <v>3490.8</v>
      </c>
      <c r="H19" s="261">
        <f>G19</f>
        <v>3490.8</v>
      </c>
      <c r="I19" s="260">
        <v>3515.9</v>
      </c>
      <c r="J19" s="260">
        <v>3493</v>
      </c>
      <c r="K19" s="260">
        <v>3510.1</v>
      </c>
      <c r="L19" s="112">
        <v>3597.2</v>
      </c>
      <c r="M19" s="261">
        <f>L19</f>
        <v>3597.2</v>
      </c>
      <c r="N19" s="260">
        <v>3706.8</v>
      </c>
      <c r="O19" s="260">
        <v>3658.9</v>
      </c>
      <c r="P19" s="260">
        <v>3672</v>
      </c>
      <c r="Q19" s="112">
        <v>3677.3</v>
      </c>
      <c r="R19" s="261">
        <f>Q19</f>
        <v>3677.3</v>
      </c>
      <c r="S19" s="260">
        <v>3675.7</v>
      </c>
      <c r="T19" s="260">
        <v>3646.1</v>
      </c>
      <c r="U19" s="112">
        <v>3451.2</v>
      </c>
      <c r="V19" s="32">
        <f>+U19</f>
        <v>3451.2</v>
      </c>
      <c r="W19" s="261">
        <f>V19</f>
        <v>3451.2</v>
      </c>
      <c r="X19" s="32">
        <f>+V19</f>
        <v>3451.2</v>
      </c>
      <c r="Y19" s="32">
        <f>+X19</f>
        <v>3451.2</v>
      </c>
      <c r="Z19" s="32">
        <f>+Y19</f>
        <v>3451.2</v>
      </c>
      <c r="AA19" s="32">
        <f>+Z19</f>
        <v>3451.2</v>
      </c>
      <c r="AB19" s="261">
        <f>AA19</f>
        <v>3451.2</v>
      </c>
      <c r="AC19" s="32">
        <f>+AA19</f>
        <v>3451.2</v>
      </c>
      <c r="AD19" s="32">
        <f>+AC19</f>
        <v>3451.2</v>
      </c>
      <c r="AE19" s="32">
        <f>+AD19</f>
        <v>3451.2</v>
      </c>
      <c r="AF19" s="32">
        <f>+AE19</f>
        <v>3451.2</v>
      </c>
      <c r="AG19" s="261">
        <f>AF19</f>
        <v>3451.2</v>
      </c>
      <c r="AH19" s="32">
        <f>+AF19</f>
        <v>3451.2</v>
      </c>
      <c r="AI19" s="32">
        <f>+AH19</f>
        <v>3451.2</v>
      </c>
      <c r="AJ19" s="32">
        <f>+AI19</f>
        <v>3451.2</v>
      </c>
      <c r="AK19" s="32">
        <f>+AJ19</f>
        <v>3451.2</v>
      </c>
      <c r="AL19" s="261">
        <f>AK19</f>
        <v>3451.2</v>
      </c>
      <c r="AM19" s="32">
        <f>+AK19</f>
        <v>3451.2</v>
      </c>
      <c r="AN19" s="32">
        <f>+AM19</f>
        <v>3451.2</v>
      </c>
      <c r="AO19" s="32">
        <f>+AN19</f>
        <v>3451.2</v>
      </c>
      <c r="AP19" s="32">
        <f>+AO19</f>
        <v>3451.2</v>
      </c>
      <c r="AQ19" s="261">
        <f>AP19</f>
        <v>3451.2</v>
      </c>
      <c r="AR19" s="32">
        <f>+AP19</f>
        <v>3451.2</v>
      </c>
      <c r="AS19" s="32">
        <f>+AR19</f>
        <v>3451.2</v>
      </c>
      <c r="AT19" s="32">
        <f>+AS19</f>
        <v>3451.2</v>
      </c>
      <c r="AU19" s="32">
        <f>+AT19</f>
        <v>3451.2</v>
      </c>
      <c r="AV19" s="261">
        <f>AU19</f>
        <v>3451.2</v>
      </c>
    </row>
    <row r="20" spans="1:48" outlineLevel="1" x14ac:dyDescent="0.3">
      <c r="A20" s="161"/>
      <c r="B20" s="472" t="s">
        <v>227</v>
      </c>
      <c r="C20" s="473"/>
      <c r="D20" s="21">
        <f t="shared" ref="D20:AV20" si="2">+SUM(D11:D19)</f>
        <v>19981.3</v>
      </c>
      <c r="E20" s="21">
        <f t="shared" si="2"/>
        <v>17641.900000000001</v>
      </c>
      <c r="F20" s="21">
        <f t="shared" si="2"/>
        <v>20894.500000000004</v>
      </c>
      <c r="G20" s="21">
        <f t="shared" si="2"/>
        <v>19219.400000000001</v>
      </c>
      <c r="H20" s="22">
        <f t="shared" si="2"/>
        <v>19219.400000000001</v>
      </c>
      <c r="I20" s="21">
        <f t="shared" si="2"/>
        <v>27731.300000000007</v>
      </c>
      <c r="J20" s="21">
        <f t="shared" si="2"/>
        <v>27478.9</v>
      </c>
      <c r="K20" s="21">
        <f t="shared" si="2"/>
        <v>29140.600000000002</v>
      </c>
      <c r="L20" s="21">
        <f t="shared" si="2"/>
        <v>29374.500000000004</v>
      </c>
      <c r="M20" s="22">
        <f t="shared" si="2"/>
        <v>29374.500000000004</v>
      </c>
      <c r="N20" s="21">
        <f t="shared" si="2"/>
        <v>29968.30000000001</v>
      </c>
      <c r="O20" s="21">
        <f t="shared" si="2"/>
        <v>28371.600000000013</v>
      </c>
      <c r="P20" s="21">
        <f t="shared" si="2"/>
        <v>29476.800000000007</v>
      </c>
      <c r="Q20" s="21">
        <f t="shared" si="2"/>
        <v>31392.600000000009</v>
      </c>
      <c r="R20" s="22">
        <f t="shared" si="2"/>
        <v>31392.600000000009</v>
      </c>
      <c r="S20" s="21">
        <f t="shared" si="2"/>
        <v>28833.900000000009</v>
      </c>
      <c r="T20" s="21">
        <f t="shared" si="2"/>
        <v>29021.500000000007</v>
      </c>
      <c r="U20" s="21">
        <f t="shared" si="2"/>
        <v>28156.200000000012</v>
      </c>
      <c r="V20" s="21">
        <f t="shared" si="2"/>
        <v>28004.878285495277</v>
      </c>
      <c r="W20" s="22">
        <f t="shared" si="2"/>
        <v>28004.878285495277</v>
      </c>
      <c r="X20" s="21">
        <f t="shared" si="2"/>
        <v>28761.895349946208</v>
      </c>
      <c r="Y20" s="21">
        <f t="shared" si="2"/>
        <v>28615.107192740434</v>
      </c>
      <c r="Z20" s="21">
        <f t="shared" si="2"/>
        <v>29250.538472152653</v>
      </c>
      <c r="AA20" s="21">
        <f t="shared" si="2"/>
        <v>29548.429336829064</v>
      </c>
      <c r="AB20" s="22">
        <f t="shared" si="2"/>
        <v>29548.429336829064</v>
      </c>
      <c r="AC20" s="21">
        <f t="shared" si="2"/>
        <v>30689.130335318408</v>
      </c>
      <c r="AD20" s="21">
        <f t="shared" si="2"/>
        <v>30643.655704882993</v>
      </c>
      <c r="AE20" s="21">
        <f t="shared" si="2"/>
        <v>31306.106145245212</v>
      </c>
      <c r="AF20" s="21">
        <f t="shared" si="2"/>
        <v>31714.868865626398</v>
      </c>
      <c r="AG20" s="22">
        <f t="shared" si="2"/>
        <v>31714.868865626398</v>
      </c>
      <c r="AH20" s="21">
        <f t="shared" si="2"/>
        <v>32955.355949344113</v>
      </c>
      <c r="AI20" s="21">
        <f t="shared" si="2"/>
        <v>32939.383451164635</v>
      </c>
      <c r="AJ20" s="21">
        <f t="shared" si="2"/>
        <v>34082.477327231798</v>
      </c>
      <c r="AK20" s="21">
        <f t="shared" si="2"/>
        <v>29440.675374696897</v>
      </c>
      <c r="AL20" s="22">
        <f t="shared" si="2"/>
        <v>29440.675374696897</v>
      </c>
      <c r="AM20" s="21">
        <f t="shared" si="2"/>
        <v>30622.373112048193</v>
      </c>
      <c r="AN20" s="21">
        <f t="shared" si="2"/>
        <v>30451.421694784862</v>
      </c>
      <c r="AO20" s="21">
        <f t="shared" si="2"/>
        <v>31342.403058410055</v>
      </c>
      <c r="AP20" s="21">
        <f t="shared" si="2"/>
        <v>31767.719417467604</v>
      </c>
      <c r="AQ20" s="22">
        <f t="shared" si="2"/>
        <v>31767.719417467604</v>
      </c>
      <c r="AR20" s="21">
        <f t="shared" si="2"/>
        <v>33109.888928401037</v>
      </c>
      <c r="AS20" s="21">
        <f t="shared" si="2"/>
        <v>33017.146636493075</v>
      </c>
      <c r="AT20" s="21">
        <f t="shared" si="2"/>
        <v>34025.320773067833</v>
      </c>
      <c r="AU20" s="21">
        <f t="shared" si="2"/>
        <v>34549.266541527155</v>
      </c>
      <c r="AV20" s="22">
        <f t="shared" si="2"/>
        <v>34549.266541527155</v>
      </c>
    </row>
    <row r="21" spans="1:48" ht="17.399999999999999" x14ac:dyDescent="0.45">
      <c r="A21" s="161"/>
      <c r="B21" s="433" t="s">
        <v>228</v>
      </c>
      <c r="C21" s="434"/>
      <c r="D21" s="14" t="s">
        <v>19</v>
      </c>
      <c r="E21" s="14" t="s">
        <v>81</v>
      </c>
      <c r="F21" s="14" t="s">
        <v>85</v>
      </c>
      <c r="G21" s="14" t="s">
        <v>95</v>
      </c>
      <c r="H21" s="40" t="s">
        <v>96</v>
      </c>
      <c r="I21" s="14" t="s">
        <v>97</v>
      </c>
      <c r="J21" s="14" t="s">
        <v>98</v>
      </c>
      <c r="K21" s="14" t="s">
        <v>99</v>
      </c>
      <c r="L21" s="14" t="s">
        <v>142</v>
      </c>
      <c r="M21" s="40" t="s">
        <v>143</v>
      </c>
      <c r="N21" s="14" t="s">
        <v>149</v>
      </c>
      <c r="O21" s="14" t="s">
        <v>157</v>
      </c>
      <c r="P21" s="14" t="s">
        <v>159</v>
      </c>
      <c r="Q21" s="14" t="s">
        <v>172</v>
      </c>
      <c r="R21" s="40" t="s">
        <v>173</v>
      </c>
      <c r="S21" s="14" t="s">
        <v>188</v>
      </c>
      <c r="T21" s="14" t="s">
        <v>189</v>
      </c>
      <c r="U21" s="14" t="s">
        <v>204</v>
      </c>
      <c r="V21" s="12" t="s">
        <v>25</v>
      </c>
      <c r="W21" s="42" t="s">
        <v>26</v>
      </c>
      <c r="X21" s="12" t="s">
        <v>27</v>
      </c>
      <c r="Y21" s="12" t="s">
        <v>28</v>
      </c>
      <c r="Z21" s="12" t="s">
        <v>29</v>
      </c>
      <c r="AA21" s="12" t="s">
        <v>30</v>
      </c>
      <c r="AB21" s="42" t="s">
        <v>31</v>
      </c>
      <c r="AC21" s="12" t="s">
        <v>90</v>
      </c>
      <c r="AD21" s="12" t="s">
        <v>91</v>
      </c>
      <c r="AE21" s="12" t="s">
        <v>92</v>
      </c>
      <c r="AF21" s="12" t="s">
        <v>93</v>
      </c>
      <c r="AG21" s="42" t="s">
        <v>94</v>
      </c>
      <c r="AH21" s="12" t="s">
        <v>109</v>
      </c>
      <c r="AI21" s="12" t="s">
        <v>110</v>
      </c>
      <c r="AJ21" s="12" t="s">
        <v>111</v>
      </c>
      <c r="AK21" s="12" t="s">
        <v>112</v>
      </c>
      <c r="AL21" s="42" t="s">
        <v>113</v>
      </c>
      <c r="AM21" s="12" t="s">
        <v>164</v>
      </c>
      <c r="AN21" s="12" t="s">
        <v>165</v>
      </c>
      <c r="AO21" s="12" t="s">
        <v>166</v>
      </c>
      <c r="AP21" s="12" t="s">
        <v>167</v>
      </c>
      <c r="AQ21" s="42" t="s">
        <v>168</v>
      </c>
      <c r="AR21" s="12" t="s">
        <v>195</v>
      </c>
      <c r="AS21" s="12" t="s">
        <v>196</v>
      </c>
      <c r="AT21" s="12" t="s">
        <v>197</v>
      </c>
      <c r="AU21" s="12" t="s">
        <v>198</v>
      </c>
      <c r="AV21" s="42" t="s">
        <v>199</v>
      </c>
    </row>
    <row r="22" spans="1:48" s="23" customFormat="1" outlineLevel="1" x14ac:dyDescent="0.3">
      <c r="A22" s="161"/>
      <c r="B22" s="435" t="s">
        <v>229</v>
      </c>
      <c r="C22" s="436"/>
      <c r="D22" s="101">
        <v>1100.5</v>
      </c>
      <c r="E22" s="101">
        <v>1096.7</v>
      </c>
      <c r="F22" s="101">
        <v>1145.4000000000001</v>
      </c>
      <c r="G22" s="101">
        <v>1189.7</v>
      </c>
      <c r="H22" s="169">
        <f t="shared" ref="H22:H29" si="3">G22</f>
        <v>1189.7</v>
      </c>
      <c r="I22" s="101">
        <v>1085.5999999999999</v>
      </c>
      <c r="J22" s="101">
        <v>997.7</v>
      </c>
      <c r="K22" s="101">
        <v>860.8</v>
      </c>
      <c r="L22" s="101">
        <v>997.9</v>
      </c>
      <c r="M22" s="169">
        <f t="shared" ref="M22:M29" si="4">L22</f>
        <v>997.9</v>
      </c>
      <c r="N22" s="101">
        <v>1050.5999999999999</v>
      </c>
      <c r="O22" s="101">
        <v>1033.5999999999999</v>
      </c>
      <c r="P22" s="101">
        <v>1127</v>
      </c>
      <c r="Q22" s="101">
        <v>1211.5999999999999</v>
      </c>
      <c r="R22" s="169">
        <f t="shared" ref="R22:R29" si="5">Q22</f>
        <v>1211.5999999999999</v>
      </c>
      <c r="S22" s="101">
        <v>1289.4000000000001</v>
      </c>
      <c r="T22" s="101">
        <v>1329.5</v>
      </c>
      <c r="U22" s="101">
        <v>1489.8</v>
      </c>
      <c r="V22" s="101">
        <f>('IS (Base-Case)'!V9/V51)</f>
        <v>1378.0521345442075</v>
      </c>
      <c r="W22" s="169">
        <f t="shared" ref="W22:W29" si="6">V22</f>
        <v>1378.0521345442075</v>
      </c>
      <c r="X22" s="101">
        <f>('IS (Base-Case)'!X9/X51)</f>
        <v>1403.0668994410348</v>
      </c>
      <c r="Y22" s="101">
        <f>('IS (Base-Case)'!Y9/Y51)</f>
        <v>1399.2335826901353</v>
      </c>
      <c r="Z22" s="101">
        <f>('IS (Base-Case)'!Z9/Z51)</f>
        <v>1629.2319194841502</v>
      </c>
      <c r="AA22" s="101">
        <f>('IS (Base-Case)'!AA9/AA51)</f>
        <v>1479.9548914419597</v>
      </c>
      <c r="AB22" s="169">
        <f t="shared" ref="AB22:AB29" si="7">AA22</f>
        <v>1479.9548914419597</v>
      </c>
      <c r="AC22" s="101">
        <f>('IS (Base-Case)'!AC9/AC51)</f>
        <v>1537.1799019893897</v>
      </c>
      <c r="AD22" s="101">
        <f>('IS (Base-Case)'!AD9/AD51)</f>
        <v>1524.7999020032589</v>
      </c>
      <c r="AE22" s="101">
        <f>('IS (Base-Case)'!AE9/AE51)</f>
        <v>1747.7690209802097</v>
      </c>
      <c r="AF22" s="101">
        <f>('IS (Base-Case)'!AF9/AF51)</f>
        <v>1659.2382621055442</v>
      </c>
      <c r="AG22" s="169">
        <f t="shared" ref="AG22:AG29" si="8">AF22</f>
        <v>1659.2382621055442</v>
      </c>
      <c r="AH22" s="101">
        <f>('IS (Base-Case)'!AH9/AH51)</f>
        <v>1698.1885458658935</v>
      </c>
      <c r="AI22" s="101">
        <f>('IS (Base-Case)'!AI9/AI51)</f>
        <v>1692.7492627589445</v>
      </c>
      <c r="AJ22" s="101">
        <f>('IS (Base-Case)'!AJ9/AJ51)</f>
        <v>1961.7658455189151</v>
      </c>
      <c r="AK22" s="101">
        <f>('IS (Base-Case)'!AK9/AK51)</f>
        <v>1859.8570077634258</v>
      </c>
      <c r="AL22" s="169">
        <f t="shared" ref="AL22:AL29" si="9">AK22</f>
        <v>1859.8570077634258</v>
      </c>
      <c r="AM22" s="101">
        <f>('IS (Base-Case)'!AM9/AM51)</f>
        <v>1861.0416955112685</v>
      </c>
      <c r="AN22" s="101">
        <f>('IS (Base-Case)'!AN9/AN51)</f>
        <v>1834.0362204097876</v>
      </c>
      <c r="AO22" s="101">
        <f>('IS (Base-Case)'!AO9/AO51)</f>
        <v>2115.7322841733671</v>
      </c>
      <c r="AP22" s="101">
        <f>('IS (Base-Case)'!AP9/AP51)</f>
        <v>2006.2059427801616</v>
      </c>
      <c r="AQ22" s="169">
        <f t="shared" ref="AQ22:AQ29" si="10">AP22</f>
        <v>2006.2059427801616</v>
      </c>
      <c r="AR22" s="101">
        <f>('IS (Base-Case)'!AR9/AR51)</f>
        <v>1983.9182175798808</v>
      </c>
      <c r="AS22" s="101">
        <f>('IS (Base-Case)'!AS9/AS51)</f>
        <v>1955.1668393055454</v>
      </c>
      <c r="AT22" s="101">
        <f>('IS (Base-Case)'!AT9/AT51)</f>
        <v>2245.2852258921503</v>
      </c>
      <c r="AU22" s="101">
        <f>('IS (Base-Case)'!AU9/AU51)</f>
        <v>2133.7442468175009</v>
      </c>
      <c r="AV22" s="169">
        <f t="shared" ref="AV22:AV29" si="11">AU22</f>
        <v>2133.7442468175009</v>
      </c>
    </row>
    <row r="23" spans="1:48" outlineLevel="1" x14ac:dyDescent="0.3">
      <c r="A23" s="161"/>
      <c r="B23" s="435" t="s">
        <v>230</v>
      </c>
      <c r="C23" s="436"/>
      <c r="D23" s="101">
        <v>2564</v>
      </c>
      <c r="E23" s="101">
        <v>2569.3000000000002</v>
      </c>
      <c r="F23" s="101">
        <v>3238.7</v>
      </c>
      <c r="G23" s="101">
        <v>1753.7</v>
      </c>
      <c r="H23" s="169">
        <f t="shared" si="3"/>
        <v>1753.7</v>
      </c>
      <c r="I23" s="101">
        <v>1637.8</v>
      </c>
      <c r="J23" s="101">
        <v>1539</v>
      </c>
      <c r="K23" s="101">
        <v>1511.7</v>
      </c>
      <c r="L23" s="101">
        <v>1160.7</v>
      </c>
      <c r="M23" s="169">
        <f t="shared" si="4"/>
        <v>1160.7</v>
      </c>
      <c r="N23" s="101">
        <v>1616.9</v>
      </c>
      <c r="O23" s="101">
        <v>1771.6</v>
      </c>
      <c r="P23" s="101">
        <v>1791.4</v>
      </c>
      <c r="Q23" s="101">
        <v>1973.2</v>
      </c>
      <c r="R23" s="169">
        <f t="shared" si="5"/>
        <v>1973.2</v>
      </c>
      <c r="S23" s="101">
        <v>2444.3000000000002</v>
      </c>
      <c r="T23" s="101">
        <v>2092.4</v>
      </c>
      <c r="U23" s="101">
        <v>2068.9</v>
      </c>
      <c r="V23" s="33">
        <f>U23</f>
        <v>2068.9</v>
      </c>
      <c r="W23" s="169">
        <f t="shared" si="6"/>
        <v>2068.9</v>
      </c>
      <c r="X23" s="33">
        <f>V23</f>
        <v>2068.9</v>
      </c>
      <c r="Y23" s="33">
        <f>X23</f>
        <v>2068.9</v>
      </c>
      <c r="Z23" s="33">
        <f>Y23</f>
        <v>2068.9</v>
      </c>
      <c r="AA23" s="33">
        <f>Z23</f>
        <v>2068.9</v>
      </c>
      <c r="AB23" s="169">
        <f t="shared" si="7"/>
        <v>2068.9</v>
      </c>
      <c r="AC23" s="33">
        <f>AA23</f>
        <v>2068.9</v>
      </c>
      <c r="AD23" s="33">
        <f>AC23</f>
        <v>2068.9</v>
      </c>
      <c r="AE23" s="33">
        <f>AD23</f>
        <v>2068.9</v>
      </c>
      <c r="AF23" s="33">
        <f>AE23</f>
        <v>2068.9</v>
      </c>
      <c r="AG23" s="169">
        <f t="shared" si="8"/>
        <v>2068.9</v>
      </c>
      <c r="AH23" s="33">
        <f>AF23</f>
        <v>2068.9</v>
      </c>
      <c r="AI23" s="33">
        <f>AH23</f>
        <v>2068.9</v>
      </c>
      <c r="AJ23" s="33">
        <f>AI23</f>
        <v>2068.9</v>
      </c>
      <c r="AK23" s="33">
        <f>AJ23</f>
        <v>2068.9</v>
      </c>
      <c r="AL23" s="169">
        <f t="shared" si="9"/>
        <v>2068.9</v>
      </c>
      <c r="AM23" s="33">
        <f>AK23</f>
        <v>2068.9</v>
      </c>
      <c r="AN23" s="33">
        <f>AM23</f>
        <v>2068.9</v>
      </c>
      <c r="AO23" s="33">
        <f>AN23</f>
        <v>2068.9</v>
      </c>
      <c r="AP23" s="33">
        <f>AO23</f>
        <v>2068.9</v>
      </c>
      <c r="AQ23" s="169">
        <f t="shared" si="10"/>
        <v>2068.9</v>
      </c>
      <c r="AR23" s="33">
        <f>AP23</f>
        <v>2068.9</v>
      </c>
      <c r="AS23" s="33">
        <f>AR23</f>
        <v>2068.9</v>
      </c>
      <c r="AT23" s="33">
        <f>AS23</f>
        <v>2068.9</v>
      </c>
      <c r="AU23" s="33">
        <f>AT23</f>
        <v>2068.9</v>
      </c>
      <c r="AV23" s="169">
        <f t="shared" si="11"/>
        <v>2068.9</v>
      </c>
    </row>
    <row r="24" spans="1:48" outlineLevel="1" x14ac:dyDescent="0.3">
      <c r="A24" s="161"/>
      <c r="B24" s="200" t="s">
        <v>231</v>
      </c>
      <c r="C24" s="201"/>
      <c r="D24" s="101">
        <v>0</v>
      </c>
      <c r="E24" s="101">
        <v>0</v>
      </c>
      <c r="F24" s="101">
        <v>0</v>
      </c>
      <c r="G24" s="101">
        <v>664.6</v>
      </c>
      <c r="H24" s="169">
        <f t="shared" si="3"/>
        <v>664.6</v>
      </c>
      <c r="I24" s="101">
        <v>578.5</v>
      </c>
      <c r="J24" s="101">
        <v>596.1</v>
      </c>
      <c r="K24" s="101">
        <v>652.1</v>
      </c>
      <c r="L24" s="101">
        <v>696</v>
      </c>
      <c r="M24" s="169">
        <f t="shared" si="4"/>
        <v>696</v>
      </c>
      <c r="N24" s="101">
        <v>685.3</v>
      </c>
      <c r="O24" s="101">
        <v>646.1</v>
      </c>
      <c r="P24" s="101">
        <v>741</v>
      </c>
      <c r="Q24" s="101">
        <v>772.3</v>
      </c>
      <c r="R24" s="169">
        <f t="shared" si="5"/>
        <v>772.3</v>
      </c>
      <c r="S24" s="101">
        <v>664.1</v>
      </c>
      <c r="T24" s="101">
        <v>665.9</v>
      </c>
      <c r="U24" s="101">
        <v>706.8</v>
      </c>
      <c r="V24" s="33">
        <f>U24</f>
        <v>706.8</v>
      </c>
      <c r="W24" s="169">
        <f t="shared" si="6"/>
        <v>706.8</v>
      </c>
      <c r="X24" s="33">
        <f>V24</f>
        <v>706.8</v>
      </c>
      <c r="Y24" s="33">
        <f t="shared" ref="Y24:AA25" si="12">X24</f>
        <v>706.8</v>
      </c>
      <c r="Z24" s="33">
        <f t="shared" si="12"/>
        <v>706.8</v>
      </c>
      <c r="AA24" s="33">
        <f t="shared" si="12"/>
        <v>706.8</v>
      </c>
      <c r="AB24" s="169">
        <f t="shared" si="7"/>
        <v>706.8</v>
      </c>
      <c r="AC24" s="33">
        <f>AA24</f>
        <v>706.8</v>
      </c>
      <c r="AD24" s="33">
        <f t="shared" ref="AD24:AF25" si="13">AC24</f>
        <v>706.8</v>
      </c>
      <c r="AE24" s="33">
        <f t="shared" si="13"/>
        <v>706.8</v>
      </c>
      <c r="AF24" s="33">
        <f t="shared" si="13"/>
        <v>706.8</v>
      </c>
      <c r="AG24" s="169">
        <f t="shared" si="8"/>
        <v>706.8</v>
      </c>
      <c r="AH24" s="33">
        <f>AF24</f>
        <v>706.8</v>
      </c>
      <c r="AI24" s="33">
        <f t="shared" ref="AI24:AK25" si="14">AH24</f>
        <v>706.8</v>
      </c>
      <c r="AJ24" s="33">
        <f t="shared" si="14"/>
        <v>706.8</v>
      </c>
      <c r="AK24" s="33">
        <f t="shared" si="14"/>
        <v>706.8</v>
      </c>
      <c r="AL24" s="169">
        <f t="shared" si="9"/>
        <v>706.8</v>
      </c>
      <c r="AM24" s="33">
        <f>AK24</f>
        <v>706.8</v>
      </c>
      <c r="AN24" s="33">
        <f t="shared" ref="AN24:AP25" si="15">AM24</f>
        <v>706.8</v>
      </c>
      <c r="AO24" s="33">
        <f t="shared" si="15"/>
        <v>706.8</v>
      </c>
      <c r="AP24" s="33">
        <f t="shared" si="15"/>
        <v>706.8</v>
      </c>
      <c r="AQ24" s="169">
        <f t="shared" si="10"/>
        <v>706.8</v>
      </c>
      <c r="AR24" s="33">
        <f>AP24</f>
        <v>706.8</v>
      </c>
      <c r="AS24" s="33">
        <f t="shared" ref="AS24:AU25" si="16">AR24</f>
        <v>706.8</v>
      </c>
      <c r="AT24" s="33">
        <f t="shared" si="16"/>
        <v>706.8</v>
      </c>
      <c r="AU24" s="33">
        <f t="shared" si="16"/>
        <v>706.8</v>
      </c>
      <c r="AV24" s="169">
        <f t="shared" si="11"/>
        <v>706.8</v>
      </c>
    </row>
    <row r="25" spans="1:48" outlineLevel="1" x14ac:dyDescent="0.3">
      <c r="A25" s="161"/>
      <c r="B25" s="200" t="s">
        <v>232</v>
      </c>
      <c r="C25" s="201"/>
      <c r="D25" s="101">
        <v>0</v>
      </c>
      <c r="E25" s="101">
        <v>0</v>
      </c>
      <c r="F25" s="101">
        <v>0</v>
      </c>
      <c r="G25" s="101">
        <v>1291.7</v>
      </c>
      <c r="H25" s="169">
        <f t="shared" si="3"/>
        <v>1291.7</v>
      </c>
      <c r="I25" s="101">
        <v>1414</v>
      </c>
      <c r="J25" s="101">
        <v>86.7</v>
      </c>
      <c r="K25" s="101">
        <v>90.9</v>
      </c>
      <c r="L25" s="101">
        <v>98.2</v>
      </c>
      <c r="M25" s="169">
        <f t="shared" si="4"/>
        <v>98.2</v>
      </c>
      <c r="N25" s="101">
        <v>149.69999999999999</v>
      </c>
      <c r="O25" s="101">
        <v>117</v>
      </c>
      <c r="P25" s="101">
        <v>204.8</v>
      </c>
      <c r="Q25" s="101">
        <v>348</v>
      </c>
      <c r="R25" s="169">
        <f t="shared" si="5"/>
        <v>348</v>
      </c>
      <c r="S25" s="101"/>
      <c r="T25" s="101">
        <f>S25</f>
        <v>0</v>
      </c>
      <c r="U25" s="101">
        <f>T25</f>
        <v>0</v>
      </c>
      <c r="V25" s="33">
        <f>U25</f>
        <v>0</v>
      </c>
      <c r="W25" s="169">
        <f t="shared" si="6"/>
        <v>0</v>
      </c>
      <c r="X25" s="33">
        <f>V25</f>
        <v>0</v>
      </c>
      <c r="Y25" s="33">
        <f t="shared" si="12"/>
        <v>0</v>
      </c>
      <c r="Z25" s="33">
        <f t="shared" si="12"/>
        <v>0</v>
      </c>
      <c r="AA25" s="33">
        <f t="shared" si="12"/>
        <v>0</v>
      </c>
      <c r="AB25" s="169">
        <f t="shared" si="7"/>
        <v>0</v>
      </c>
      <c r="AC25" s="33">
        <f>AA25</f>
        <v>0</v>
      </c>
      <c r="AD25" s="33">
        <f t="shared" si="13"/>
        <v>0</v>
      </c>
      <c r="AE25" s="33">
        <f t="shared" si="13"/>
        <v>0</v>
      </c>
      <c r="AF25" s="33">
        <f t="shared" si="13"/>
        <v>0</v>
      </c>
      <c r="AG25" s="169">
        <f t="shared" si="8"/>
        <v>0</v>
      </c>
      <c r="AH25" s="33">
        <f>AF25</f>
        <v>0</v>
      </c>
      <c r="AI25" s="33">
        <f t="shared" si="14"/>
        <v>0</v>
      </c>
      <c r="AJ25" s="33">
        <f t="shared" si="14"/>
        <v>0</v>
      </c>
      <c r="AK25" s="33">
        <f t="shared" si="14"/>
        <v>0</v>
      </c>
      <c r="AL25" s="169">
        <f t="shared" si="9"/>
        <v>0</v>
      </c>
      <c r="AM25" s="33">
        <f>AK25</f>
        <v>0</v>
      </c>
      <c r="AN25" s="33">
        <f t="shared" si="15"/>
        <v>0</v>
      </c>
      <c r="AO25" s="33">
        <f t="shared" si="15"/>
        <v>0</v>
      </c>
      <c r="AP25" s="33">
        <f t="shared" si="15"/>
        <v>0</v>
      </c>
      <c r="AQ25" s="169">
        <f t="shared" si="10"/>
        <v>0</v>
      </c>
      <c r="AR25" s="33">
        <f>AP25</f>
        <v>0</v>
      </c>
      <c r="AS25" s="33">
        <f t="shared" si="16"/>
        <v>0</v>
      </c>
      <c r="AT25" s="33">
        <f t="shared" si="16"/>
        <v>0</v>
      </c>
      <c r="AU25" s="33">
        <f t="shared" si="16"/>
        <v>0</v>
      </c>
      <c r="AV25" s="169">
        <f t="shared" si="11"/>
        <v>0</v>
      </c>
    </row>
    <row r="26" spans="1:48" outlineLevel="1" x14ac:dyDescent="0.3">
      <c r="A26" s="161"/>
      <c r="B26" s="200" t="s">
        <v>233</v>
      </c>
      <c r="C26" s="201"/>
      <c r="D26" s="101">
        <v>0</v>
      </c>
      <c r="E26" s="101">
        <v>0</v>
      </c>
      <c r="F26" s="101">
        <v>0</v>
      </c>
      <c r="G26" s="101">
        <v>0</v>
      </c>
      <c r="H26" s="169">
        <f t="shared" si="3"/>
        <v>0</v>
      </c>
      <c r="I26" s="101">
        <v>1268.9000000000001</v>
      </c>
      <c r="J26" s="101">
        <v>1253.5</v>
      </c>
      <c r="K26" s="101">
        <v>1237.0999999999999</v>
      </c>
      <c r="L26" s="101">
        <v>1248.8</v>
      </c>
      <c r="M26" s="169">
        <f t="shared" si="4"/>
        <v>1248.8</v>
      </c>
      <c r="N26" s="101">
        <v>1267.5999999999999</v>
      </c>
      <c r="O26" s="101">
        <v>1296.4000000000001</v>
      </c>
      <c r="P26" s="101">
        <v>1308.4000000000001</v>
      </c>
      <c r="Q26" s="101">
        <v>1251.3</v>
      </c>
      <c r="R26" s="169">
        <f t="shared" si="5"/>
        <v>1251.3</v>
      </c>
      <c r="S26" s="101">
        <v>1253.3</v>
      </c>
      <c r="T26" s="101">
        <v>1236.3</v>
      </c>
      <c r="U26" s="101">
        <v>1214.8</v>
      </c>
      <c r="V26" s="33">
        <f>U26*0.996</f>
        <v>1209.9407999999999</v>
      </c>
      <c r="W26" s="169">
        <f t="shared" si="6"/>
        <v>1209.9407999999999</v>
      </c>
      <c r="X26" s="33">
        <f>V26*0.996</f>
        <v>1205.1010367999997</v>
      </c>
      <c r="Y26" s="33">
        <f>X26*0.996</f>
        <v>1200.2806326527998</v>
      </c>
      <c r="Z26" s="33">
        <f>Y26*0.996</f>
        <v>1195.4795101221887</v>
      </c>
      <c r="AA26" s="33">
        <f>Z26*0.996</f>
        <v>1190.6975920816999</v>
      </c>
      <c r="AB26" s="169">
        <f t="shared" si="7"/>
        <v>1190.6975920816999</v>
      </c>
      <c r="AC26" s="33">
        <f>AA26*0.996</f>
        <v>1185.9348017133732</v>
      </c>
      <c r="AD26" s="33">
        <f>AC26*0.996</f>
        <v>1181.1910625065198</v>
      </c>
      <c r="AE26" s="33">
        <f>AD26*0.996</f>
        <v>1176.4662982564937</v>
      </c>
      <c r="AF26" s="33">
        <f>AE26*0.996</f>
        <v>1171.7604330634676</v>
      </c>
      <c r="AG26" s="169">
        <f t="shared" si="8"/>
        <v>1171.7604330634676</v>
      </c>
      <c r="AH26" s="33">
        <f>AF26*0.996</f>
        <v>1167.0733913312138</v>
      </c>
      <c r="AI26" s="33">
        <f>AH26*0.996</f>
        <v>1162.405097765889</v>
      </c>
      <c r="AJ26" s="33">
        <f>AI26*0.996</f>
        <v>1157.7554773748254</v>
      </c>
      <c r="AK26" s="33">
        <f>AJ26*0.996</f>
        <v>1153.124455465326</v>
      </c>
      <c r="AL26" s="169">
        <f t="shared" si="9"/>
        <v>1153.124455465326</v>
      </c>
      <c r="AM26" s="33">
        <f>AK26*0.996</f>
        <v>1148.5119576434647</v>
      </c>
      <c r="AN26" s="33">
        <f>AM26*0.996</f>
        <v>1143.9179098128909</v>
      </c>
      <c r="AO26" s="33">
        <f>AN26*0.996</f>
        <v>1139.3422381736393</v>
      </c>
      <c r="AP26" s="33">
        <f>AO26*0.996</f>
        <v>1134.7848692209448</v>
      </c>
      <c r="AQ26" s="169">
        <f t="shared" si="10"/>
        <v>1134.7848692209448</v>
      </c>
      <c r="AR26" s="33">
        <f>AP26*0.996</f>
        <v>1130.245729744061</v>
      </c>
      <c r="AS26" s="33">
        <f>AR26*0.996</f>
        <v>1125.7247468250848</v>
      </c>
      <c r="AT26" s="33">
        <f>AS26*0.996</f>
        <v>1121.2218478377845</v>
      </c>
      <c r="AU26" s="33">
        <f>AT26*0.996</f>
        <v>1116.7369604464334</v>
      </c>
      <c r="AV26" s="169">
        <f t="shared" si="11"/>
        <v>1116.7369604464334</v>
      </c>
    </row>
    <row r="27" spans="1:48" outlineLevel="1" x14ac:dyDescent="0.3">
      <c r="A27" s="161"/>
      <c r="B27" s="200" t="s">
        <v>234</v>
      </c>
      <c r="C27" s="201"/>
      <c r="D27" s="101">
        <v>1554.2</v>
      </c>
      <c r="E27" s="101">
        <v>1311.4</v>
      </c>
      <c r="F27" s="101">
        <v>1300.2</v>
      </c>
      <c r="G27" s="101">
        <v>1269</v>
      </c>
      <c r="H27" s="169">
        <f t="shared" si="3"/>
        <v>1269</v>
      </c>
      <c r="I27" s="101">
        <v>1694.1</v>
      </c>
      <c r="J27" s="101">
        <v>1436.3</v>
      </c>
      <c r="K27" s="101">
        <v>1463.3</v>
      </c>
      <c r="L27" s="101">
        <v>1456.5</v>
      </c>
      <c r="M27" s="169">
        <f t="shared" si="4"/>
        <v>1456.5</v>
      </c>
      <c r="N27" s="101">
        <v>1871.2</v>
      </c>
      <c r="O27" s="101">
        <v>1622.1</v>
      </c>
      <c r="P27" s="101">
        <v>1628.3</v>
      </c>
      <c r="Q27" s="101">
        <v>1596.1</v>
      </c>
      <c r="R27" s="169">
        <f t="shared" si="5"/>
        <v>1596.1</v>
      </c>
      <c r="S27" s="101">
        <v>2070.6999999999998</v>
      </c>
      <c r="T27" s="101">
        <v>1781.6</v>
      </c>
      <c r="U27" s="101">
        <v>1723</v>
      </c>
      <c r="V27" s="33">
        <f>U27*0.99</f>
        <v>1705.77</v>
      </c>
      <c r="W27" s="169">
        <f t="shared" si="6"/>
        <v>1705.77</v>
      </c>
      <c r="X27" s="33">
        <f>V27*1.3</f>
        <v>2217.5010000000002</v>
      </c>
      <c r="Y27" s="33">
        <f>X27*0.85</f>
        <v>1884.8758500000001</v>
      </c>
      <c r="Z27" s="33">
        <f>Y27*0.99</f>
        <v>1866.0270915000001</v>
      </c>
      <c r="AA27" s="33">
        <f>Z27*0.99</f>
        <v>1847.3668205850001</v>
      </c>
      <c r="AB27" s="169">
        <f t="shared" si="7"/>
        <v>1847.3668205850001</v>
      </c>
      <c r="AC27" s="33">
        <f>AA27*1.3</f>
        <v>2401.5768667605003</v>
      </c>
      <c r="AD27" s="33">
        <f>AC27*0.85</f>
        <v>2041.3403367464252</v>
      </c>
      <c r="AE27" s="33">
        <f>AD27*0.99</f>
        <v>2020.9269333789609</v>
      </c>
      <c r="AF27" s="33">
        <f>AE27*0.99</f>
        <v>2000.7176640451712</v>
      </c>
      <c r="AG27" s="169">
        <f t="shared" si="8"/>
        <v>2000.7176640451712</v>
      </c>
      <c r="AH27" s="33">
        <f>AF27*1.3</f>
        <v>2600.9329632587228</v>
      </c>
      <c r="AI27" s="33">
        <f>AH27*0.85</f>
        <v>2210.7930187699144</v>
      </c>
      <c r="AJ27" s="33">
        <f>AI27*0.99</f>
        <v>2188.685088582215</v>
      </c>
      <c r="AK27" s="33">
        <f>AJ27*0.99</f>
        <v>2166.7982376963928</v>
      </c>
      <c r="AL27" s="169">
        <f t="shared" si="9"/>
        <v>2166.7982376963928</v>
      </c>
      <c r="AM27" s="33">
        <f>AK27*1.3</f>
        <v>2816.8377090053109</v>
      </c>
      <c r="AN27" s="33">
        <f>AM27*0.85</f>
        <v>2394.312052654514</v>
      </c>
      <c r="AO27" s="33">
        <f>AN27*0.99</f>
        <v>2370.3689321279689</v>
      </c>
      <c r="AP27" s="33">
        <f>AO27*0.99</f>
        <v>2346.6652428066891</v>
      </c>
      <c r="AQ27" s="169">
        <f t="shared" si="10"/>
        <v>2346.6652428066891</v>
      </c>
      <c r="AR27" s="33">
        <f>AP27*1.3</f>
        <v>3050.6648156486958</v>
      </c>
      <c r="AS27" s="33">
        <f>AR27*0.85</f>
        <v>2593.0650933013912</v>
      </c>
      <c r="AT27" s="33">
        <f>AS27*0.99</f>
        <v>2567.1344423683772</v>
      </c>
      <c r="AU27" s="33">
        <f>AT27*0.99</f>
        <v>2541.4630979446933</v>
      </c>
      <c r="AV27" s="169">
        <f t="shared" si="11"/>
        <v>2541.4630979446933</v>
      </c>
    </row>
    <row r="28" spans="1:48" outlineLevel="1" x14ac:dyDescent="0.3">
      <c r="A28" s="161"/>
      <c r="B28" s="200" t="s">
        <v>235</v>
      </c>
      <c r="C28" s="201"/>
      <c r="D28" s="101">
        <v>0</v>
      </c>
      <c r="E28" s="101">
        <f>75+0</f>
        <v>75</v>
      </c>
      <c r="F28" s="101">
        <v>0</v>
      </c>
      <c r="G28" s="101">
        <v>0</v>
      </c>
      <c r="H28" s="169">
        <f t="shared" si="3"/>
        <v>0</v>
      </c>
      <c r="I28" s="101">
        <f>497.9+498.7</f>
        <v>996.59999999999991</v>
      </c>
      <c r="J28" s="101">
        <f>1107.1+1249.4</f>
        <v>2356.5</v>
      </c>
      <c r="K28" s="101">
        <f>936.5+1249.6</f>
        <v>2186.1</v>
      </c>
      <c r="L28" s="101">
        <f>438.8+1249.9</f>
        <v>1688.7</v>
      </c>
      <c r="M28" s="169">
        <f t="shared" si="4"/>
        <v>1688.7</v>
      </c>
      <c r="N28" s="101">
        <f>492.6+750</f>
        <v>1242.5999999999999</v>
      </c>
      <c r="O28" s="101">
        <v>18.3</v>
      </c>
      <c r="P28" s="101">
        <v>998.9</v>
      </c>
      <c r="Q28" s="101">
        <v>998.9</v>
      </c>
      <c r="R28" s="169">
        <f t="shared" si="5"/>
        <v>998.9</v>
      </c>
      <c r="S28" s="101">
        <f>200+999.3</f>
        <v>1199.3</v>
      </c>
      <c r="T28" s="101">
        <v>1998.6</v>
      </c>
      <c r="U28" s="101">
        <f>200+999.1</f>
        <v>1199.0999999999999</v>
      </c>
      <c r="V28" s="33">
        <f>U28-V59+V60</f>
        <v>1000.0999999999999</v>
      </c>
      <c r="W28" s="169">
        <f t="shared" si="6"/>
        <v>1000.0999999999999</v>
      </c>
      <c r="X28" s="33">
        <f>V28-X59+X60</f>
        <v>1000.0999999999999</v>
      </c>
      <c r="Y28" s="33">
        <f>X28-Y59+Y60</f>
        <v>750.09999999999991</v>
      </c>
      <c r="Z28" s="33">
        <f t="shared" ref="Z28:AA28" si="17">Y28-Z59+Z60</f>
        <v>1876.3999999999999</v>
      </c>
      <c r="AA28" s="33">
        <f t="shared" si="17"/>
        <v>1876.3999999999999</v>
      </c>
      <c r="AB28" s="169">
        <f t="shared" si="7"/>
        <v>1876.3999999999999</v>
      </c>
      <c r="AC28" s="33">
        <f>AA28-AC59+AC60</f>
        <v>1126.3999999999999</v>
      </c>
      <c r="AD28" s="33">
        <f t="shared" ref="AD28:AF28" si="18">AC28-AD59+AD60</f>
        <v>9.9999999999909051E-2</v>
      </c>
      <c r="AE28" s="33">
        <f t="shared" si="18"/>
        <v>9.9999999999909051E-2</v>
      </c>
      <c r="AF28" s="33">
        <f t="shared" si="18"/>
        <v>9.9999999999909051E-2</v>
      </c>
      <c r="AG28" s="169">
        <f t="shared" si="8"/>
        <v>9.9999999999909051E-2</v>
      </c>
      <c r="AH28" s="33">
        <f>AF28-AH59+AH60</f>
        <v>1250.0999999999999</v>
      </c>
      <c r="AI28" s="33">
        <f t="shared" ref="AI28:AK28" si="19">AH28-AI59+AI60</f>
        <v>1250.0999999999999</v>
      </c>
      <c r="AJ28" s="33">
        <f t="shared" si="19"/>
        <v>1250.0999999999999</v>
      </c>
      <c r="AK28" s="33">
        <f t="shared" si="19"/>
        <v>500.09999999999991</v>
      </c>
      <c r="AL28" s="169">
        <f t="shared" si="9"/>
        <v>500.09999999999991</v>
      </c>
      <c r="AM28" s="33">
        <f>AK28-AM59+AM60</f>
        <v>500.09999999999991</v>
      </c>
      <c r="AN28" s="33">
        <f t="shared" ref="AN28:AP28" si="20">AM28-AN59+AN60</f>
        <v>500.09999999999991</v>
      </c>
      <c r="AO28" s="33">
        <f t="shared" si="20"/>
        <v>500.09999999999991</v>
      </c>
      <c r="AP28" s="33">
        <f t="shared" si="20"/>
        <v>500.09999999999991</v>
      </c>
      <c r="AQ28" s="169">
        <f t="shared" si="10"/>
        <v>500.09999999999991</v>
      </c>
      <c r="AR28" s="33">
        <f>AP28-AR59+AR60</f>
        <v>500.09999999999991</v>
      </c>
      <c r="AS28" s="33">
        <f t="shared" ref="AS28:AU28" si="21">AR28-AS59+AS60</f>
        <v>9.9999999999909051E-2</v>
      </c>
      <c r="AT28" s="33">
        <f t="shared" si="21"/>
        <v>9.9999999999909051E-2</v>
      </c>
      <c r="AU28" s="33">
        <f t="shared" si="21"/>
        <v>9.9999999999909051E-2</v>
      </c>
      <c r="AV28" s="169">
        <f t="shared" si="11"/>
        <v>9.9999999999909051E-2</v>
      </c>
    </row>
    <row r="29" spans="1:48" ht="16.2" outlineLevel="1" x14ac:dyDescent="0.45">
      <c r="A29" s="161"/>
      <c r="B29" s="200" t="s">
        <v>236</v>
      </c>
      <c r="C29" s="201"/>
      <c r="D29" s="112">
        <v>208.8</v>
      </c>
      <c r="E29" s="112">
        <v>221</v>
      </c>
      <c r="F29" s="112">
        <v>211.5</v>
      </c>
      <c r="G29" s="112">
        <v>0</v>
      </c>
      <c r="H29" s="262">
        <f t="shared" si="3"/>
        <v>0</v>
      </c>
      <c r="I29" s="112">
        <v>0</v>
      </c>
      <c r="J29" s="112">
        <v>0</v>
      </c>
      <c r="K29" s="112">
        <v>0</v>
      </c>
      <c r="L29" s="112">
        <v>0</v>
      </c>
      <c r="M29" s="262">
        <f t="shared" si="4"/>
        <v>0</v>
      </c>
      <c r="N29" s="112">
        <v>0</v>
      </c>
      <c r="O29" s="112">
        <v>0</v>
      </c>
      <c r="P29" s="112">
        <v>0</v>
      </c>
      <c r="Q29" s="112">
        <v>0</v>
      </c>
      <c r="R29" s="262">
        <f t="shared" si="5"/>
        <v>0</v>
      </c>
      <c r="S29" s="112">
        <v>0</v>
      </c>
      <c r="T29" s="112">
        <v>0</v>
      </c>
      <c r="U29" s="112">
        <v>0</v>
      </c>
      <c r="V29" s="32">
        <v>0</v>
      </c>
      <c r="W29" s="262">
        <f t="shared" si="6"/>
        <v>0</v>
      </c>
      <c r="X29" s="32">
        <v>0</v>
      </c>
      <c r="Y29" s="32">
        <v>0</v>
      </c>
      <c r="Z29" s="32">
        <v>0</v>
      </c>
      <c r="AA29" s="32">
        <v>0</v>
      </c>
      <c r="AB29" s="262">
        <f t="shared" si="7"/>
        <v>0</v>
      </c>
      <c r="AC29" s="32">
        <v>0</v>
      </c>
      <c r="AD29" s="32">
        <v>0</v>
      </c>
      <c r="AE29" s="32">
        <v>0</v>
      </c>
      <c r="AF29" s="32">
        <v>0</v>
      </c>
      <c r="AG29" s="262">
        <f t="shared" si="8"/>
        <v>0</v>
      </c>
      <c r="AH29" s="32">
        <v>0</v>
      </c>
      <c r="AI29" s="32">
        <v>0</v>
      </c>
      <c r="AJ29" s="32">
        <v>0</v>
      </c>
      <c r="AK29" s="32">
        <v>0</v>
      </c>
      <c r="AL29" s="262">
        <f t="shared" si="9"/>
        <v>0</v>
      </c>
      <c r="AM29" s="32">
        <v>0</v>
      </c>
      <c r="AN29" s="32">
        <v>0</v>
      </c>
      <c r="AO29" s="32">
        <v>0</v>
      </c>
      <c r="AP29" s="32">
        <v>0</v>
      </c>
      <c r="AQ29" s="262">
        <f t="shared" si="10"/>
        <v>0</v>
      </c>
      <c r="AR29" s="32">
        <v>0</v>
      </c>
      <c r="AS29" s="32">
        <v>0</v>
      </c>
      <c r="AT29" s="32">
        <v>0</v>
      </c>
      <c r="AU29" s="32">
        <v>0</v>
      </c>
      <c r="AV29" s="262">
        <f t="shared" si="11"/>
        <v>0</v>
      </c>
    </row>
    <row r="30" spans="1:48" outlineLevel="1" x14ac:dyDescent="0.3">
      <c r="A30" s="161"/>
      <c r="B30" s="205" t="s">
        <v>237</v>
      </c>
      <c r="C30" s="201"/>
      <c r="D30" s="116">
        <f t="shared" ref="D30:K30" si="22">SUM(D22:D29)</f>
        <v>5427.5</v>
      </c>
      <c r="E30" s="116">
        <f t="shared" si="22"/>
        <v>5273.4</v>
      </c>
      <c r="F30" s="116">
        <f t="shared" si="22"/>
        <v>5895.8</v>
      </c>
      <c r="G30" s="116">
        <f t="shared" si="22"/>
        <v>6168.7</v>
      </c>
      <c r="H30" s="150">
        <f t="shared" si="22"/>
        <v>6168.7</v>
      </c>
      <c r="I30" s="116">
        <f t="shared" si="22"/>
        <v>8675.5</v>
      </c>
      <c r="J30" s="116">
        <f t="shared" si="22"/>
        <v>8265.7999999999993</v>
      </c>
      <c r="K30" s="116">
        <f t="shared" si="22"/>
        <v>8002</v>
      </c>
      <c r="L30" s="116">
        <f t="shared" ref="L30:AV30" si="23">SUM(L22:L28)</f>
        <v>7346.7999999999993</v>
      </c>
      <c r="M30" s="150">
        <f t="shared" si="23"/>
        <v>7346.7999999999993</v>
      </c>
      <c r="N30" s="116">
        <f t="shared" si="23"/>
        <v>7883.9</v>
      </c>
      <c r="O30" s="116">
        <f t="shared" si="23"/>
        <v>6505.0999999999995</v>
      </c>
      <c r="P30" s="116">
        <f t="shared" si="23"/>
        <v>7799.8</v>
      </c>
      <c r="Q30" s="116">
        <f t="shared" si="23"/>
        <v>8151.4</v>
      </c>
      <c r="R30" s="150">
        <f t="shared" si="23"/>
        <v>8151.4</v>
      </c>
      <c r="S30" s="116">
        <f t="shared" si="23"/>
        <v>8921.1</v>
      </c>
      <c r="T30" s="116">
        <f t="shared" si="23"/>
        <v>9104.3000000000011</v>
      </c>
      <c r="U30" s="116">
        <f t="shared" si="23"/>
        <v>8402.4</v>
      </c>
      <c r="V30" s="116">
        <f t="shared" si="23"/>
        <v>8069.5629345442085</v>
      </c>
      <c r="W30" s="150">
        <f t="shared" si="23"/>
        <v>8069.5629345442085</v>
      </c>
      <c r="X30" s="116">
        <f t="shared" si="23"/>
        <v>8601.4689362410354</v>
      </c>
      <c r="Y30" s="116">
        <f t="shared" si="23"/>
        <v>8010.1900653429348</v>
      </c>
      <c r="Z30" s="116">
        <f t="shared" si="23"/>
        <v>9342.8385211063396</v>
      </c>
      <c r="AA30" s="116">
        <f t="shared" si="23"/>
        <v>9170.1193041086608</v>
      </c>
      <c r="AB30" s="150">
        <f t="shared" si="23"/>
        <v>9170.1193041086608</v>
      </c>
      <c r="AC30" s="116">
        <f t="shared" si="23"/>
        <v>9026.7915704632633</v>
      </c>
      <c r="AD30" s="116">
        <f t="shared" si="23"/>
        <v>7523.1313012562041</v>
      </c>
      <c r="AE30" s="116">
        <f t="shared" si="23"/>
        <v>7720.9622526156636</v>
      </c>
      <c r="AF30" s="116">
        <f t="shared" si="23"/>
        <v>7607.5163592141835</v>
      </c>
      <c r="AG30" s="150">
        <f t="shared" si="23"/>
        <v>7607.5163592141835</v>
      </c>
      <c r="AH30" s="116">
        <f t="shared" si="23"/>
        <v>9491.9949004558312</v>
      </c>
      <c r="AI30" s="116">
        <f t="shared" si="23"/>
        <v>9091.7473792947476</v>
      </c>
      <c r="AJ30" s="116">
        <f t="shared" si="23"/>
        <v>9334.0064114759552</v>
      </c>
      <c r="AK30" s="116">
        <f t="shared" si="23"/>
        <v>8455.5797009251437</v>
      </c>
      <c r="AL30" s="150">
        <f t="shared" si="23"/>
        <v>8455.5797009251437</v>
      </c>
      <c r="AM30" s="116">
        <f t="shared" si="23"/>
        <v>9102.1913621600452</v>
      </c>
      <c r="AN30" s="116">
        <f t="shared" si="23"/>
        <v>8648.0661828771936</v>
      </c>
      <c r="AO30" s="116">
        <f t="shared" si="23"/>
        <v>8901.2434544749758</v>
      </c>
      <c r="AP30" s="116">
        <f t="shared" si="23"/>
        <v>8763.4560548077952</v>
      </c>
      <c r="AQ30" s="150">
        <f t="shared" si="23"/>
        <v>8763.4560548077952</v>
      </c>
      <c r="AR30" s="116">
        <f t="shared" si="23"/>
        <v>9440.6287629726376</v>
      </c>
      <c r="AS30" s="116">
        <f t="shared" si="23"/>
        <v>8449.7566794320228</v>
      </c>
      <c r="AT30" s="116">
        <f t="shared" si="23"/>
        <v>8709.4415160983117</v>
      </c>
      <c r="AU30" s="116">
        <f t="shared" si="23"/>
        <v>8567.7443052086292</v>
      </c>
      <c r="AV30" s="150">
        <f t="shared" si="23"/>
        <v>8567.7443052086292</v>
      </c>
    </row>
    <row r="31" spans="1:48" outlineLevel="1" x14ac:dyDescent="0.3">
      <c r="A31" s="161"/>
      <c r="B31" s="200" t="s">
        <v>238</v>
      </c>
      <c r="C31" s="201"/>
      <c r="D31" s="101">
        <v>9130.7000000000007</v>
      </c>
      <c r="E31" s="101">
        <v>9141.5</v>
      </c>
      <c r="F31" s="101">
        <v>11159.1</v>
      </c>
      <c r="G31" s="101">
        <v>11167</v>
      </c>
      <c r="H31" s="169">
        <f>G31</f>
        <v>11167</v>
      </c>
      <c r="I31" s="101">
        <v>10653.2</v>
      </c>
      <c r="J31" s="101">
        <v>11658.7</v>
      </c>
      <c r="K31" s="101">
        <v>14645.6</v>
      </c>
      <c r="L31" s="101">
        <v>14659.6</v>
      </c>
      <c r="M31" s="169">
        <f>L31</f>
        <v>14659.6</v>
      </c>
      <c r="N31" s="101">
        <v>14673.5</v>
      </c>
      <c r="O31" s="101">
        <v>14630.3</v>
      </c>
      <c r="P31" s="101">
        <v>13619.2</v>
      </c>
      <c r="Q31" s="101">
        <v>13616.9</v>
      </c>
      <c r="R31" s="169">
        <f>Q31</f>
        <v>13616.9</v>
      </c>
      <c r="S31" s="101">
        <v>13586.3</v>
      </c>
      <c r="T31" s="101">
        <v>14014.4</v>
      </c>
      <c r="U31" s="101">
        <v>13930.8</v>
      </c>
      <c r="V31" s="33">
        <f>U31-V60+V61</f>
        <v>13930.8</v>
      </c>
      <c r="W31" s="169">
        <f>V31</f>
        <v>13930.8</v>
      </c>
      <c r="X31" s="33">
        <f>V31-X60+X61</f>
        <v>13930.8</v>
      </c>
      <c r="Y31" s="33">
        <f>X31-Y60+Y61</f>
        <v>14180.8</v>
      </c>
      <c r="Z31" s="33">
        <f>Y31-Z60+Z61</f>
        <v>13054.5</v>
      </c>
      <c r="AA31" s="33">
        <f>Z31-AA60+AA61</f>
        <v>13054.5</v>
      </c>
      <c r="AB31" s="169">
        <f>AA31</f>
        <v>13054.5</v>
      </c>
      <c r="AC31" s="33">
        <f>AA31-AC60+AC61</f>
        <v>13804.5</v>
      </c>
      <c r="AD31" s="33">
        <f>AC31-AD60+AD61</f>
        <v>14930.5</v>
      </c>
      <c r="AE31" s="33">
        <f>AD31-AE60+AE61</f>
        <v>14930.5</v>
      </c>
      <c r="AF31" s="33">
        <f>AE31-AF60+AF61</f>
        <v>15030.5</v>
      </c>
      <c r="AG31" s="169">
        <f>AF31</f>
        <v>15030.5</v>
      </c>
      <c r="AH31" s="33">
        <f>AF31-AH60+AH61</f>
        <v>13780.5</v>
      </c>
      <c r="AI31" s="33">
        <f>AH31-AI60+AI61</f>
        <v>13780.5</v>
      </c>
      <c r="AJ31" s="33">
        <f>AI31-AJ60+AJ61</f>
        <v>19071.5</v>
      </c>
      <c r="AK31" s="33">
        <f>AJ31-AK60+AK61</f>
        <v>19821.5</v>
      </c>
      <c r="AL31" s="169">
        <f>AK31</f>
        <v>19821.5</v>
      </c>
      <c r="AM31" s="33">
        <f>AK31-AM60+AM61</f>
        <v>19821.5</v>
      </c>
      <c r="AN31" s="33">
        <f>AM31-AN60+AN61</f>
        <v>19821.5</v>
      </c>
      <c r="AO31" s="33">
        <f>AN31-AO60+AO61</f>
        <v>19821.5</v>
      </c>
      <c r="AP31" s="33">
        <f>AO31-AP60+AP61</f>
        <v>19821.5</v>
      </c>
      <c r="AQ31" s="169">
        <f>AP31</f>
        <v>19821.5</v>
      </c>
      <c r="AR31" s="33">
        <f>AP31-AR60+AR61</f>
        <v>19821.5</v>
      </c>
      <c r="AS31" s="33">
        <f>AR31-AS60+AS61</f>
        <v>20321.5</v>
      </c>
      <c r="AT31" s="33">
        <f>AS31-AT60+AT61</f>
        <v>20321.5</v>
      </c>
      <c r="AU31" s="33">
        <f>AT31-AU60+AU61</f>
        <v>20321.5</v>
      </c>
      <c r="AV31" s="169">
        <f>AU31</f>
        <v>20321.5</v>
      </c>
    </row>
    <row r="32" spans="1:48" outlineLevel="1" x14ac:dyDescent="0.3">
      <c r="A32" s="161"/>
      <c r="B32" s="200" t="s">
        <v>239</v>
      </c>
      <c r="C32" s="207"/>
      <c r="D32" s="101">
        <v>0</v>
      </c>
      <c r="E32" s="101">
        <v>0</v>
      </c>
      <c r="F32" s="101">
        <v>0</v>
      </c>
      <c r="G32" s="101">
        <v>0</v>
      </c>
      <c r="H32" s="169">
        <f>G32</f>
        <v>0</v>
      </c>
      <c r="I32" s="101">
        <v>7711.7</v>
      </c>
      <c r="J32" s="101">
        <v>7650.4</v>
      </c>
      <c r="K32" s="101">
        <v>7653.6</v>
      </c>
      <c r="L32" s="101">
        <v>7661.7</v>
      </c>
      <c r="M32" s="169">
        <f>L32</f>
        <v>7661.7</v>
      </c>
      <c r="N32" s="101">
        <v>7754.5</v>
      </c>
      <c r="O32" s="101">
        <v>7577.7</v>
      </c>
      <c r="P32" s="101">
        <v>7597.8</v>
      </c>
      <c r="Q32" s="101">
        <v>7738</v>
      </c>
      <c r="R32" s="169">
        <f>Q32</f>
        <v>7738</v>
      </c>
      <c r="S32" s="101">
        <v>7708</v>
      </c>
      <c r="T32" s="101">
        <v>7668.5</v>
      </c>
      <c r="U32" s="101">
        <v>7554.4</v>
      </c>
      <c r="V32" s="33">
        <f>U32*0.996</f>
        <v>7524.1823999999997</v>
      </c>
      <c r="W32" s="169">
        <f>V32</f>
        <v>7524.1823999999997</v>
      </c>
      <c r="X32" s="33">
        <f>V32*0.996</f>
        <v>7494.0856703999998</v>
      </c>
      <c r="Y32" s="33">
        <f t="shared" ref="Y32:AA32" si="24">X32*0.996</f>
        <v>7464.1093277184</v>
      </c>
      <c r="Z32" s="33">
        <f t="shared" si="24"/>
        <v>7434.2528904075261</v>
      </c>
      <c r="AA32" s="33">
        <f t="shared" si="24"/>
        <v>7404.5158788458957</v>
      </c>
      <c r="AB32" s="169">
        <f>AA32</f>
        <v>7404.5158788458957</v>
      </c>
      <c r="AC32" s="33">
        <f>AA32*0.996</f>
        <v>7374.8978153305125</v>
      </c>
      <c r="AD32" s="33">
        <f t="shared" ref="AD32:AF32" si="25">AC32*0.996</f>
        <v>7345.3982240691903</v>
      </c>
      <c r="AE32" s="33">
        <f t="shared" si="25"/>
        <v>7316.0166311729135</v>
      </c>
      <c r="AF32" s="33">
        <f t="shared" si="25"/>
        <v>7286.7525646482218</v>
      </c>
      <c r="AG32" s="169">
        <f>AF32</f>
        <v>7286.7525646482218</v>
      </c>
      <c r="AH32" s="33">
        <f>AF32*0.996</f>
        <v>7257.6055543896291</v>
      </c>
      <c r="AI32" s="33">
        <f t="shared" ref="AI32:AK32" si="26">AH32*0.996</f>
        <v>7228.5751321720709</v>
      </c>
      <c r="AJ32" s="33">
        <f t="shared" si="26"/>
        <v>7199.6608316433822</v>
      </c>
      <c r="AK32" s="33">
        <f t="shared" si="26"/>
        <v>7170.8621883168089</v>
      </c>
      <c r="AL32" s="169">
        <f>AK32</f>
        <v>7170.8621883168089</v>
      </c>
      <c r="AM32" s="33">
        <f>AK32*0.996</f>
        <v>7142.178739563542</v>
      </c>
      <c r="AN32" s="33">
        <f t="shared" ref="AN32:AP32" si="27">AM32*0.996</f>
        <v>7113.6100246052874</v>
      </c>
      <c r="AO32" s="33">
        <f t="shared" si="27"/>
        <v>7085.155584506866</v>
      </c>
      <c r="AP32" s="33">
        <f t="shared" si="27"/>
        <v>7056.814962168839</v>
      </c>
      <c r="AQ32" s="169">
        <f>AP32</f>
        <v>7056.814962168839</v>
      </c>
      <c r="AR32" s="33">
        <f>AP32*0.996</f>
        <v>7028.5877023201638</v>
      </c>
      <c r="AS32" s="33">
        <f t="shared" ref="AS32:AU32" si="28">AR32*0.996</f>
        <v>7000.4733515108828</v>
      </c>
      <c r="AT32" s="33">
        <f t="shared" si="28"/>
        <v>6972.4714581048393</v>
      </c>
      <c r="AU32" s="33">
        <f t="shared" si="28"/>
        <v>6944.5815722724201</v>
      </c>
      <c r="AV32" s="169">
        <f>AU32</f>
        <v>6944.5815722724201</v>
      </c>
    </row>
    <row r="33" spans="1:48" outlineLevel="1" x14ac:dyDescent="0.3">
      <c r="A33" s="161"/>
      <c r="B33" s="200" t="s">
        <v>240</v>
      </c>
      <c r="C33" s="207"/>
      <c r="D33" s="101">
        <v>6823.7</v>
      </c>
      <c r="E33" s="101">
        <v>6761.9</v>
      </c>
      <c r="F33" s="101">
        <v>6717.9</v>
      </c>
      <c r="G33" s="101">
        <v>6744.4</v>
      </c>
      <c r="H33" s="169">
        <f>G33</f>
        <v>6744.4</v>
      </c>
      <c r="I33" s="101">
        <v>6748.8</v>
      </c>
      <c r="J33" s="101">
        <v>6685.5</v>
      </c>
      <c r="K33" s="101">
        <v>6642.6</v>
      </c>
      <c r="L33" s="101">
        <v>6598.5</v>
      </c>
      <c r="M33" s="169">
        <f>L33</f>
        <v>6598.5</v>
      </c>
      <c r="N33" s="101">
        <v>6597.7</v>
      </c>
      <c r="O33" s="101">
        <v>6532.1</v>
      </c>
      <c r="P33" s="101">
        <v>6491.4</v>
      </c>
      <c r="Q33" s="101">
        <v>6463</v>
      </c>
      <c r="R33" s="169">
        <f>Q33</f>
        <v>6463</v>
      </c>
      <c r="S33" s="101">
        <v>6447.7</v>
      </c>
      <c r="T33" s="101">
        <v>6381.9</v>
      </c>
      <c r="U33" s="101">
        <v>6333.1</v>
      </c>
      <c r="V33" s="33">
        <f>U33*0.995</f>
        <v>6301.4345000000003</v>
      </c>
      <c r="W33" s="169">
        <f>V33</f>
        <v>6301.4345000000003</v>
      </c>
      <c r="X33" s="33">
        <f>V33*0.995</f>
        <v>6269.9273275000005</v>
      </c>
      <c r="Y33" s="33">
        <f>X33*0.995</f>
        <v>6238.5776908625003</v>
      </c>
      <c r="Z33" s="33">
        <f>Y33*0.995</f>
        <v>6207.3848024081881</v>
      </c>
      <c r="AA33" s="33">
        <f>Z33*0.995</f>
        <v>6176.3478783961473</v>
      </c>
      <c r="AB33" s="169">
        <f>AA33</f>
        <v>6176.3478783961473</v>
      </c>
      <c r="AC33" s="33">
        <f>AA33*0.995</f>
        <v>6145.4661390041665</v>
      </c>
      <c r="AD33" s="33">
        <f>AC33*0.995</f>
        <v>6114.7388083091455</v>
      </c>
      <c r="AE33" s="33">
        <f>AD33*0.995</f>
        <v>6084.1651142676001</v>
      </c>
      <c r="AF33" s="33">
        <f>AE33*0.995</f>
        <v>6053.7442886962617</v>
      </c>
      <c r="AG33" s="169">
        <f>AF33</f>
        <v>6053.7442886962617</v>
      </c>
      <c r="AH33" s="33">
        <f>AF33*0.995</f>
        <v>6023.4755672527808</v>
      </c>
      <c r="AI33" s="33">
        <f>AH33*0.995</f>
        <v>5993.3581894165172</v>
      </c>
      <c r="AJ33" s="33">
        <f>AI33*0.995</f>
        <v>5963.3913984694345</v>
      </c>
      <c r="AK33" s="33">
        <f>AJ33*0.995</f>
        <v>5933.574441477087</v>
      </c>
      <c r="AL33" s="169">
        <f>AK33</f>
        <v>5933.574441477087</v>
      </c>
      <c r="AM33" s="33">
        <f>AK33*0.995</f>
        <v>5903.9065692697013</v>
      </c>
      <c r="AN33" s="33">
        <f>AM33*0.995</f>
        <v>5874.3870364233526</v>
      </c>
      <c r="AO33" s="33">
        <f>AN33*0.995</f>
        <v>5845.0151012412362</v>
      </c>
      <c r="AP33" s="33">
        <f>AO33*0.995</f>
        <v>5815.7900257350302</v>
      </c>
      <c r="AQ33" s="169">
        <f>AP33</f>
        <v>5815.7900257350302</v>
      </c>
      <c r="AR33" s="33">
        <f>AP33*0.995</f>
        <v>5786.7110756063548</v>
      </c>
      <c r="AS33" s="33">
        <f>AR33*0.995</f>
        <v>5757.7775202283228</v>
      </c>
      <c r="AT33" s="33">
        <f>AS33*0.995</f>
        <v>5728.9886326271808</v>
      </c>
      <c r="AU33" s="33">
        <f>AT33*0.995</f>
        <v>5700.3436894640445</v>
      </c>
      <c r="AV33" s="169">
        <f>AU33</f>
        <v>5700.3436894640445</v>
      </c>
    </row>
    <row r="34" spans="1:48" ht="15.75" customHeight="1" outlineLevel="1" x14ac:dyDescent="0.45">
      <c r="A34" s="161"/>
      <c r="B34" s="435" t="s">
        <v>241</v>
      </c>
      <c r="C34" s="436"/>
      <c r="D34" s="112">
        <v>1478.2</v>
      </c>
      <c r="E34" s="112">
        <v>1500.3</v>
      </c>
      <c r="F34" s="112">
        <v>1440.6</v>
      </c>
      <c r="G34" s="112">
        <v>1370.5</v>
      </c>
      <c r="H34" s="262">
        <f>G34</f>
        <v>1370.5</v>
      </c>
      <c r="I34" s="112">
        <v>701.2</v>
      </c>
      <c r="J34" s="112">
        <v>751.4</v>
      </c>
      <c r="K34" s="112">
        <v>821.1</v>
      </c>
      <c r="L34" s="112">
        <v>907.3</v>
      </c>
      <c r="M34" s="262">
        <f>L34</f>
        <v>907.3</v>
      </c>
      <c r="N34" s="112">
        <v>962.8</v>
      </c>
      <c r="O34" s="112">
        <v>774.8</v>
      </c>
      <c r="P34" s="112">
        <v>762.9</v>
      </c>
      <c r="Q34" s="112">
        <v>737.8</v>
      </c>
      <c r="R34" s="262">
        <f>Q34</f>
        <v>737.8</v>
      </c>
      <c r="S34" s="112">
        <v>621.1</v>
      </c>
      <c r="T34" s="112">
        <v>613.6</v>
      </c>
      <c r="U34" s="112">
        <v>594.4</v>
      </c>
      <c r="V34" s="32">
        <f>U34</f>
        <v>594.4</v>
      </c>
      <c r="W34" s="262">
        <f>V34</f>
        <v>594.4</v>
      </c>
      <c r="X34" s="32">
        <f>V34</f>
        <v>594.4</v>
      </c>
      <c r="Y34" s="32">
        <f>X34</f>
        <v>594.4</v>
      </c>
      <c r="Z34" s="32">
        <f>Y34</f>
        <v>594.4</v>
      </c>
      <c r="AA34" s="32">
        <f>Z34</f>
        <v>594.4</v>
      </c>
      <c r="AB34" s="262">
        <f>AA34</f>
        <v>594.4</v>
      </c>
      <c r="AC34" s="32">
        <f>AA34</f>
        <v>594.4</v>
      </c>
      <c r="AD34" s="32">
        <f>AC34</f>
        <v>594.4</v>
      </c>
      <c r="AE34" s="32">
        <f>AD34</f>
        <v>594.4</v>
      </c>
      <c r="AF34" s="32">
        <f>AE34</f>
        <v>594.4</v>
      </c>
      <c r="AG34" s="262">
        <f>AF34</f>
        <v>594.4</v>
      </c>
      <c r="AH34" s="32">
        <f>AF34</f>
        <v>594.4</v>
      </c>
      <c r="AI34" s="32">
        <f>AH34</f>
        <v>594.4</v>
      </c>
      <c r="AJ34" s="32">
        <f>AI34</f>
        <v>594.4</v>
      </c>
      <c r="AK34" s="32">
        <f>AJ34</f>
        <v>594.4</v>
      </c>
      <c r="AL34" s="262">
        <f>AK34</f>
        <v>594.4</v>
      </c>
      <c r="AM34" s="32">
        <f>AK34</f>
        <v>594.4</v>
      </c>
      <c r="AN34" s="32">
        <f>AM34</f>
        <v>594.4</v>
      </c>
      <c r="AO34" s="32">
        <f>AN34</f>
        <v>594.4</v>
      </c>
      <c r="AP34" s="32">
        <f>AO34</f>
        <v>594.4</v>
      </c>
      <c r="AQ34" s="262">
        <f>AP34</f>
        <v>594.4</v>
      </c>
      <c r="AR34" s="32">
        <f>AP34</f>
        <v>594.4</v>
      </c>
      <c r="AS34" s="32">
        <f>AR34</f>
        <v>594.4</v>
      </c>
      <c r="AT34" s="32">
        <f>AS34</f>
        <v>594.4</v>
      </c>
      <c r="AU34" s="32">
        <f>AT34</f>
        <v>594.4</v>
      </c>
      <c r="AV34" s="262">
        <f>AU34</f>
        <v>594.4</v>
      </c>
    </row>
    <row r="35" spans="1:48" outlineLevel="1" x14ac:dyDescent="0.3">
      <c r="A35" s="161"/>
      <c r="B35" s="472" t="s">
        <v>242</v>
      </c>
      <c r="C35" s="473"/>
      <c r="D35" s="116">
        <f t="shared" ref="D35:AV35" si="29">SUM(D30:D34)</f>
        <v>22860.100000000002</v>
      </c>
      <c r="E35" s="116">
        <f t="shared" si="29"/>
        <v>22677.1</v>
      </c>
      <c r="F35" s="116">
        <f t="shared" si="29"/>
        <v>25213.4</v>
      </c>
      <c r="G35" s="116">
        <f t="shared" si="29"/>
        <v>25450.6</v>
      </c>
      <c r="H35" s="150">
        <f t="shared" si="29"/>
        <v>25450.6</v>
      </c>
      <c r="I35" s="116">
        <f t="shared" si="29"/>
        <v>34490.400000000001</v>
      </c>
      <c r="J35" s="116">
        <f t="shared" si="29"/>
        <v>35011.800000000003</v>
      </c>
      <c r="K35" s="116">
        <f t="shared" si="29"/>
        <v>37764.899999999994</v>
      </c>
      <c r="L35" s="116">
        <f t="shared" si="29"/>
        <v>37173.900000000009</v>
      </c>
      <c r="M35" s="150">
        <f t="shared" si="29"/>
        <v>37173.900000000009</v>
      </c>
      <c r="N35" s="116">
        <f t="shared" si="29"/>
        <v>37872.400000000001</v>
      </c>
      <c r="O35" s="116">
        <f t="shared" si="29"/>
        <v>36020</v>
      </c>
      <c r="P35" s="116">
        <f t="shared" si="29"/>
        <v>36271.1</v>
      </c>
      <c r="Q35" s="116">
        <f t="shared" si="29"/>
        <v>36707.100000000006</v>
      </c>
      <c r="R35" s="150">
        <f t="shared" si="29"/>
        <v>36707.100000000006</v>
      </c>
      <c r="S35" s="116">
        <f t="shared" si="29"/>
        <v>37284.199999999997</v>
      </c>
      <c r="T35" s="116">
        <f t="shared" si="29"/>
        <v>37782.699999999997</v>
      </c>
      <c r="U35" s="116">
        <f t="shared" si="29"/>
        <v>36815.1</v>
      </c>
      <c r="V35" s="116">
        <f t="shared" si="29"/>
        <v>36420.379834544212</v>
      </c>
      <c r="W35" s="150">
        <f t="shared" si="29"/>
        <v>36420.379834544212</v>
      </c>
      <c r="X35" s="116">
        <f t="shared" si="29"/>
        <v>36890.681934141037</v>
      </c>
      <c r="Y35" s="116">
        <f t="shared" si="29"/>
        <v>36488.077083923839</v>
      </c>
      <c r="Z35" s="116">
        <f t="shared" si="29"/>
        <v>36633.376213922056</v>
      </c>
      <c r="AA35" s="116">
        <f t="shared" si="29"/>
        <v>36399.883061350702</v>
      </c>
      <c r="AB35" s="150">
        <f t="shared" si="29"/>
        <v>36399.883061350702</v>
      </c>
      <c r="AC35" s="116">
        <f t="shared" si="29"/>
        <v>36946.055524797943</v>
      </c>
      <c r="AD35" s="116">
        <f t="shared" si="29"/>
        <v>36508.168333634538</v>
      </c>
      <c r="AE35" s="116">
        <f t="shared" si="29"/>
        <v>36646.043998056179</v>
      </c>
      <c r="AF35" s="116">
        <f t="shared" si="29"/>
        <v>36572.913212558669</v>
      </c>
      <c r="AG35" s="150">
        <f t="shared" si="29"/>
        <v>36572.913212558669</v>
      </c>
      <c r="AH35" s="116">
        <f t="shared" si="29"/>
        <v>37147.976022098243</v>
      </c>
      <c r="AI35" s="116">
        <f t="shared" si="29"/>
        <v>36688.580700883336</v>
      </c>
      <c r="AJ35" s="116">
        <f t="shared" si="29"/>
        <v>42162.958641588775</v>
      </c>
      <c r="AK35" s="116">
        <f t="shared" si="29"/>
        <v>41975.916330719039</v>
      </c>
      <c r="AL35" s="150">
        <f t="shared" si="29"/>
        <v>41975.916330719039</v>
      </c>
      <c r="AM35" s="116">
        <f t="shared" si="29"/>
        <v>42564.176670993293</v>
      </c>
      <c r="AN35" s="116">
        <f t="shared" si="29"/>
        <v>42051.963243905833</v>
      </c>
      <c r="AO35" s="116">
        <f t="shared" si="29"/>
        <v>42247.314140223083</v>
      </c>
      <c r="AP35" s="116">
        <f t="shared" si="29"/>
        <v>42051.961042711664</v>
      </c>
      <c r="AQ35" s="150">
        <f t="shared" si="29"/>
        <v>42051.961042711664</v>
      </c>
      <c r="AR35" s="116">
        <f t="shared" si="29"/>
        <v>42671.827540899154</v>
      </c>
      <c r="AS35" s="116">
        <f t="shared" si="29"/>
        <v>42123.907551171229</v>
      </c>
      <c r="AT35" s="116">
        <f t="shared" si="29"/>
        <v>42326.801606830333</v>
      </c>
      <c r="AU35" s="116">
        <f t="shared" si="29"/>
        <v>42128.569566945102</v>
      </c>
      <c r="AV35" s="150">
        <f t="shared" si="29"/>
        <v>42128.569566945102</v>
      </c>
    </row>
    <row r="36" spans="1:48" ht="17.399999999999999" x14ac:dyDescent="0.45">
      <c r="B36" s="433" t="s">
        <v>243</v>
      </c>
      <c r="C36" s="434"/>
      <c r="D36" s="14" t="s">
        <v>19</v>
      </c>
      <c r="E36" s="14" t="s">
        <v>81</v>
      </c>
      <c r="F36" s="14" t="s">
        <v>85</v>
      </c>
      <c r="G36" s="14" t="s">
        <v>95</v>
      </c>
      <c r="H36" s="40" t="s">
        <v>96</v>
      </c>
      <c r="I36" s="14" t="s">
        <v>97</v>
      </c>
      <c r="J36" s="14" t="s">
        <v>98</v>
      </c>
      <c r="K36" s="14" t="s">
        <v>99</v>
      </c>
      <c r="L36" s="14" t="s">
        <v>142</v>
      </c>
      <c r="M36" s="40" t="s">
        <v>143</v>
      </c>
      <c r="N36" s="14" t="s">
        <v>149</v>
      </c>
      <c r="O36" s="14" t="s">
        <v>157</v>
      </c>
      <c r="P36" s="14" t="s">
        <v>159</v>
      </c>
      <c r="Q36" s="14" t="s">
        <v>172</v>
      </c>
      <c r="R36" s="40" t="s">
        <v>173</v>
      </c>
      <c r="S36" s="14" t="s">
        <v>188</v>
      </c>
      <c r="T36" s="14" t="s">
        <v>189</v>
      </c>
      <c r="U36" s="14" t="s">
        <v>204</v>
      </c>
      <c r="V36" s="263" t="s">
        <v>25</v>
      </c>
      <c r="W36" s="264" t="s">
        <v>26</v>
      </c>
      <c r="X36" s="263" t="s">
        <v>27</v>
      </c>
      <c r="Y36" s="263" t="s">
        <v>28</v>
      </c>
      <c r="Z36" s="263" t="s">
        <v>29</v>
      </c>
      <c r="AA36" s="263" t="s">
        <v>30</v>
      </c>
      <c r="AB36" s="264" t="s">
        <v>31</v>
      </c>
      <c r="AC36" s="12" t="s">
        <v>90</v>
      </c>
      <c r="AD36" s="12" t="s">
        <v>91</v>
      </c>
      <c r="AE36" s="12" t="s">
        <v>92</v>
      </c>
      <c r="AF36" s="12" t="s">
        <v>93</v>
      </c>
      <c r="AG36" s="42" t="s">
        <v>94</v>
      </c>
      <c r="AH36" s="12" t="s">
        <v>109</v>
      </c>
      <c r="AI36" s="12" t="s">
        <v>110</v>
      </c>
      <c r="AJ36" s="12" t="s">
        <v>111</v>
      </c>
      <c r="AK36" s="12" t="s">
        <v>112</v>
      </c>
      <c r="AL36" s="42" t="s">
        <v>113</v>
      </c>
      <c r="AM36" s="12" t="s">
        <v>164</v>
      </c>
      <c r="AN36" s="12" t="s">
        <v>165</v>
      </c>
      <c r="AO36" s="12" t="s">
        <v>166</v>
      </c>
      <c r="AP36" s="12" t="s">
        <v>167</v>
      </c>
      <c r="AQ36" s="42" t="s">
        <v>168</v>
      </c>
      <c r="AR36" s="12" t="s">
        <v>195</v>
      </c>
      <c r="AS36" s="12" t="s">
        <v>196</v>
      </c>
      <c r="AT36" s="12" t="s">
        <v>197</v>
      </c>
      <c r="AU36" s="12" t="s">
        <v>198</v>
      </c>
      <c r="AV36" s="42" t="s">
        <v>199</v>
      </c>
    </row>
    <row r="37" spans="1:48" outlineLevel="1" x14ac:dyDescent="0.3">
      <c r="B37" s="435" t="s">
        <v>244</v>
      </c>
      <c r="C37" s="436"/>
      <c r="D37" s="16">
        <f>1.2+41.1</f>
        <v>42.300000000000004</v>
      </c>
      <c r="E37" s="16">
        <f>1.2+41.1</f>
        <v>42.300000000000004</v>
      </c>
      <c r="F37" s="16">
        <f>1.2+41.1</f>
        <v>42.300000000000004</v>
      </c>
      <c r="G37" s="16">
        <f>1.2+41.1</f>
        <v>42.300000000000004</v>
      </c>
      <c r="H37" s="17">
        <f>G37</f>
        <v>42.300000000000004</v>
      </c>
      <c r="I37" s="16">
        <f>1.2+41.1</f>
        <v>42.300000000000004</v>
      </c>
      <c r="J37" s="16">
        <f>1.2+41.1</f>
        <v>42.300000000000004</v>
      </c>
      <c r="K37" s="16">
        <f>1.2+115.4</f>
        <v>116.60000000000001</v>
      </c>
      <c r="L37" s="16">
        <f>1.2+373.9</f>
        <v>375.09999999999997</v>
      </c>
      <c r="M37" s="17">
        <f>L37</f>
        <v>375.09999999999997</v>
      </c>
      <c r="N37" s="16">
        <f>1.2+488.6</f>
        <v>489.8</v>
      </c>
      <c r="O37" s="16">
        <f>1.2+595.4</f>
        <v>596.6</v>
      </c>
      <c r="P37" s="16">
        <f>1.2+729.3</f>
        <v>730.5</v>
      </c>
      <c r="Q37" s="16">
        <f>1.2+846.1</f>
        <v>847.30000000000007</v>
      </c>
      <c r="R37" s="17">
        <f>Q37</f>
        <v>847.30000000000007</v>
      </c>
      <c r="S37" s="16">
        <f>1.2+41.1</f>
        <v>42.300000000000004</v>
      </c>
      <c r="T37" s="16">
        <f>1.1+41.1</f>
        <v>42.2</v>
      </c>
      <c r="U37" s="16">
        <f>1.1+117.1</f>
        <v>118.19999999999999</v>
      </c>
      <c r="V37" s="16">
        <f>+U37+'CFS (Base-Case)'!V12+'CFS (Base-Case)'!V35</f>
        <v>186.45820954892966</v>
      </c>
      <c r="W37" s="17">
        <f>V37</f>
        <v>186.45820954892966</v>
      </c>
      <c r="X37" s="16">
        <f>+V37+'CFS (Base-Case)'!X12+'CFS (Base-Case)'!X35</f>
        <v>259.14171867776389</v>
      </c>
      <c r="Y37" s="16">
        <f>+X37+'CFS (Base-Case)'!Y12+'CFS (Base-Case)'!Y35</f>
        <v>322.75017283030621</v>
      </c>
      <c r="Z37" s="16">
        <f>+Y37+'CFS (Base-Case)'!Z12+'CFS (Base-Case)'!Z35</f>
        <v>394.14182003442488</v>
      </c>
      <c r="AA37" s="16">
        <f>+Z37+'CFS (Base-Case)'!AA12+'CFS (Base-Case)'!AA35</f>
        <v>469.25798289260689</v>
      </c>
      <c r="AB37" s="17">
        <f>AA37</f>
        <v>469.25798289260689</v>
      </c>
      <c r="AC37" s="16">
        <f>+AA37+'CFS (Base-Case)'!AC12+'CFS (Base-Case)'!AC35</f>
        <v>546.47474132521199</v>
      </c>
      <c r="AD37" s="16">
        <f>+AC37+'CFS (Base-Case)'!AD12+'CFS (Base-Case)'!AD35</f>
        <v>618.4349244661995</v>
      </c>
      <c r="AE37" s="16">
        <f>+AD37+'CFS (Base-Case)'!AE12+'CFS (Base-Case)'!AE35</f>
        <v>697.90524446016502</v>
      </c>
      <c r="AF37" s="16">
        <f>+AE37+'CFS (Base-Case)'!AF12+'CFS (Base-Case)'!AF35</f>
        <v>779.70673807855428</v>
      </c>
      <c r="AG37" s="17">
        <f>AF37</f>
        <v>779.70673807855428</v>
      </c>
      <c r="AH37" s="16">
        <f>+AF37+'CFS (Base-Case)'!AH12+'CFS (Base-Case)'!AH35</f>
        <v>865.29467419792604</v>
      </c>
      <c r="AI37" s="16">
        <f>+AH37+'CFS (Base-Case)'!AI12+'CFS (Base-Case)'!AI35</f>
        <v>946.02848500918537</v>
      </c>
      <c r="AJ37" s="16">
        <f>+AI37+'CFS (Base-Case)'!AJ12+'CFS (Base-Case)'!AJ35</f>
        <v>1034.7182494358842</v>
      </c>
      <c r="AK37" s="16">
        <f>+AJ37+'CFS (Base-Case)'!AK12+'CFS (Base-Case)'!AK35</f>
        <v>1125.9054042884197</v>
      </c>
      <c r="AL37" s="17">
        <f>AK37</f>
        <v>1125.9054042884197</v>
      </c>
      <c r="AM37" s="16">
        <f>+AK37+'CFS (Base-Case)'!AM12+'CFS (Base-Case)'!AM35</f>
        <v>1220.0365894615813</v>
      </c>
      <c r="AN37" s="16">
        <f>+AM37+'CFS (Base-Case)'!AN12+'CFS (Base-Case)'!AN35</f>
        <v>1308.5096358032915</v>
      </c>
      <c r="AO37" s="16">
        <f>+AN37+'CFS (Base-Case)'!AO12+'CFS (Base-Case)'!AO35</f>
        <v>1405.2132203072395</v>
      </c>
      <c r="AP37" s="16">
        <f>+AO37+'CFS (Base-Case)'!AP12+'CFS (Base-Case)'!AP35</f>
        <v>1504.3172772593048</v>
      </c>
      <c r="AQ37" s="17">
        <f>AP37</f>
        <v>1504.3172772593048</v>
      </c>
      <c r="AR37" s="16">
        <f>+AP37+'CFS (Base-Case)'!AR12+'CFS (Base-Case)'!AR35</f>
        <v>1604.5801209780989</v>
      </c>
      <c r="AS37" s="16">
        <f>+AR37+'CFS (Base-Case)'!AS12+'CFS (Base-Case)'!AS35</f>
        <v>1698.7565742635986</v>
      </c>
      <c r="AT37" s="16">
        <f>+AS37+'CFS (Base-Case)'!AT12+'CFS (Base-Case)'!AT35</f>
        <v>1801.6462542996449</v>
      </c>
      <c r="AU37" s="16">
        <f>+AT37+'CFS (Base-Case)'!AU12+'CFS (Base-Case)'!AU35</f>
        <v>1907.1219524367916</v>
      </c>
      <c r="AV37" s="17">
        <f>AU37</f>
        <v>1907.1219524367916</v>
      </c>
    </row>
    <row r="38" spans="1:48" outlineLevel="1" x14ac:dyDescent="0.3">
      <c r="B38" s="474" t="s">
        <v>245</v>
      </c>
      <c r="C38" s="475"/>
      <c r="D38" s="16">
        <v>-2584</v>
      </c>
      <c r="E38" s="101">
        <v>-4807.7</v>
      </c>
      <c r="F38" s="101">
        <v>-4013.9</v>
      </c>
      <c r="G38" s="101">
        <v>-5771.2</v>
      </c>
      <c r="H38" s="169">
        <f>G38</f>
        <v>-5771.2</v>
      </c>
      <c r="I38" s="101">
        <v>-6414.8</v>
      </c>
      <c r="J38" s="101">
        <v>-7050.6</v>
      </c>
      <c r="K38" s="101">
        <v>-8208.2999999999993</v>
      </c>
      <c r="L38" s="101">
        <v>-7815.6</v>
      </c>
      <c r="M38" s="169">
        <f>L38</f>
        <v>-7815.6</v>
      </c>
      <c r="N38" s="101">
        <v>-8253.6</v>
      </c>
      <c r="O38" s="101">
        <v>-8124.3</v>
      </c>
      <c r="P38" s="101">
        <v>-7501.6</v>
      </c>
      <c r="Q38" s="101">
        <v>-6315.7</v>
      </c>
      <c r="R38" s="169">
        <f>Q38</f>
        <v>-6315.7</v>
      </c>
      <c r="S38" s="101">
        <v>-8753</v>
      </c>
      <c r="T38" s="101">
        <v>-9070.5</v>
      </c>
      <c r="U38" s="101">
        <v>-8719.7000000000007</v>
      </c>
      <c r="V38" s="101">
        <f>U38+'CFS (Base-Case)'!V6+'CFS (Base-Case)'!V33+'CFS (Base-Case)'!V34</f>
        <v>-8544.5597585978667</v>
      </c>
      <c r="W38" s="169">
        <f>V38</f>
        <v>-8544.5597585978667</v>
      </c>
      <c r="X38" s="101">
        <f>V38+'CFS (Base-Case)'!X6+'CFS (Base-Case)'!X33+'CFS (Base-Case)'!X34</f>
        <v>-8330.5283028726026</v>
      </c>
      <c r="Y38" s="101">
        <f>X38+'CFS (Base-Case)'!Y6+'CFS (Base-Case)'!Y33+'CFS (Base-Case)'!Y34</f>
        <v>-8138.3200640137202</v>
      </c>
      <c r="Z38" s="101">
        <f>Y38+'CFS (Base-Case)'!Z6+'CFS (Base-Case)'!Z33+'CFS (Base-Case)'!Z34</f>
        <v>-7719.5795618038355</v>
      </c>
      <c r="AA38" s="101">
        <f>Z38+'CFS (Base-Case)'!AA6+'CFS (Base-Case)'!AA33+'CFS (Base-Case)'!AA34</f>
        <v>-7263.3117074142547</v>
      </c>
      <c r="AB38" s="169">
        <f>AA38</f>
        <v>-7263.3117074142547</v>
      </c>
      <c r="AC38" s="101">
        <f>AA38+'CFS (Base-Case)'!AC6+'CFS (Base-Case)'!AC33+'CFS (Base-Case)'!AC34</f>
        <v>-6745.99993080476</v>
      </c>
      <c r="AD38" s="101">
        <f>AC38+'CFS (Base-Case)'!AD6+'CFS (Base-Case)'!AD33+'CFS (Base-Case)'!AD34</f>
        <v>-6425.5475532177607</v>
      </c>
      <c r="AE38" s="101">
        <f>AD38+'CFS (Base-Case)'!AE6+'CFS (Base-Case)'!AE33+'CFS (Base-Case)'!AE34</f>
        <v>-5980.4430972711452</v>
      </c>
      <c r="AF38" s="101">
        <f>AE38+'CFS (Base-Case)'!AF6+'CFS (Base-Case)'!AF33+'CFS (Base-Case)'!AF34</f>
        <v>-5580.3510850108341</v>
      </c>
      <c r="AG38" s="169">
        <f>AF38</f>
        <v>-5580.3510850108341</v>
      </c>
      <c r="AH38" s="101">
        <f>AF38+'CFS (Base-Case)'!AH6+'CFS (Base-Case)'!AH33+'CFS (Base-Case)'!AH34</f>
        <v>-5000.5147469520643</v>
      </c>
      <c r="AI38" s="101">
        <f>AH38+'CFS (Base-Case)'!AI6+'CFS (Base-Case)'!AI33+'CFS (Base-Case)'!AI34</f>
        <v>-4637.8257347279014</v>
      </c>
      <c r="AJ38" s="101">
        <f>AI38+'CFS (Base-Case)'!AJ6+'CFS (Base-Case)'!AJ33+'CFS (Base-Case)'!AJ34</f>
        <v>-9057.7995637928725</v>
      </c>
      <c r="AK38" s="101">
        <f>AJ38+'CFS (Base-Case)'!AK6+'CFS (Base-Case)'!AK33+'CFS (Base-Case)'!AK34</f>
        <v>-13603.746360310572</v>
      </c>
      <c r="AL38" s="169">
        <f>AK38</f>
        <v>-13603.746360310572</v>
      </c>
      <c r="AM38" s="101">
        <f>AK38+'CFS (Base-Case)'!AM6+'CFS (Base-Case)'!AM33+'CFS (Base-Case)'!AM34</f>
        <v>-13104.440148406684</v>
      </c>
      <c r="AN38" s="101">
        <f>AM38+'CFS (Base-Case)'!AN6+'CFS (Base-Case)'!AN33+'CFS (Base-Case)'!AN34</f>
        <v>-12851.651184924271</v>
      </c>
      <c r="AO38" s="101">
        <f>AN38+'CFS (Base-Case)'!AO6+'CFS (Base-Case)'!AO33+'CFS (Base-Case)'!AO34</f>
        <v>-12252.724302120268</v>
      </c>
      <c r="AP38" s="101">
        <f>AO38+'CFS (Base-Case)'!AP6+'CFS (Base-Case)'!AP33+'CFS (Base-Case)'!AP34</f>
        <v>-11731.158902503375</v>
      </c>
      <c r="AQ38" s="169">
        <f>AP38</f>
        <v>-11731.158902503375</v>
      </c>
      <c r="AR38" s="101">
        <f>AP38+'CFS (Base-Case)'!AR6+'CFS (Base-Case)'!AR33+'CFS (Base-Case)'!AR34</f>
        <v>-11109.118733476222</v>
      </c>
      <c r="AS38" s="101">
        <f>AR38+'CFS (Base-Case)'!AS6+'CFS (Base-Case)'!AS33+'CFS (Base-Case)'!AS34</f>
        <v>-10748.117488941756</v>
      </c>
      <c r="AT38" s="101">
        <f>AS38+'CFS (Base-Case)'!AT6+'CFS (Base-Case)'!AT33+'CFS (Base-Case)'!AT34</f>
        <v>-10045.727088062151</v>
      </c>
      <c r="AU38" s="101">
        <f>AT38+'CFS (Base-Case)'!AU6+'CFS (Base-Case)'!AU33+'CFS (Base-Case)'!AU34</f>
        <v>-9429.0249778547368</v>
      </c>
      <c r="AV38" s="169">
        <f>AU38</f>
        <v>-9429.0249778547368</v>
      </c>
    </row>
    <row r="39" spans="1:48" outlineLevel="1" x14ac:dyDescent="0.3">
      <c r="B39" s="474" t="s">
        <v>246</v>
      </c>
      <c r="C39" s="475"/>
      <c r="D39" s="16">
        <v>-343.2</v>
      </c>
      <c r="E39" s="102">
        <v>-271.5</v>
      </c>
      <c r="F39" s="101">
        <v>-349</v>
      </c>
      <c r="G39" s="101">
        <v>-503.3</v>
      </c>
      <c r="H39" s="169">
        <f>+G39</f>
        <v>-503.3</v>
      </c>
      <c r="I39" s="101">
        <v>-387.4</v>
      </c>
      <c r="J39" s="101">
        <v>-521.79999999999995</v>
      </c>
      <c r="K39" s="101">
        <v>-529.9</v>
      </c>
      <c r="L39" s="101">
        <v>-364.6</v>
      </c>
      <c r="M39" s="169">
        <f>+L39</f>
        <v>-364.6</v>
      </c>
      <c r="N39" s="101">
        <v>-145.9</v>
      </c>
      <c r="O39" s="101">
        <v>-126.3</v>
      </c>
      <c r="P39" s="101">
        <v>-29.7</v>
      </c>
      <c r="Q39" s="101">
        <v>147.19999999999999</v>
      </c>
      <c r="R39" s="169">
        <f>+Q39</f>
        <v>147.19999999999999</v>
      </c>
      <c r="S39" s="101">
        <v>253.5</v>
      </c>
      <c r="T39" s="101">
        <v>260.3</v>
      </c>
      <c r="U39" s="101">
        <v>-65</v>
      </c>
      <c r="V39" s="101">
        <f t="shared" ref="V39:W40" si="30">+U39</f>
        <v>-65</v>
      </c>
      <c r="W39" s="169">
        <f t="shared" si="30"/>
        <v>-65</v>
      </c>
      <c r="X39" s="101">
        <f>+V39</f>
        <v>-65</v>
      </c>
      <c r="Y39" s="101">
        <f t="shared" ref="Y39:AB40" si="31">+X39</f>
        <v>-65</v>
      </c>
      <c r="Z39" s="101">
        <f t="shared" si="31"/>
        <v>-65</v>
      </c>
      <c r="AA39" s="101">
        <f t="shared" si="31"/>
        <v>-65</v>
      </c>
      <c r="AB39" s="169">
        <f t="shared" si="31"/>
        <v>-65</v>
      </c>
      <c r="AC39" s="101">
        <f>+AA39</f>
        <v>-65</v>
      </c>
      <c r="AD39" s="101">
        <f t="shared" ref="AD39:AG40" si="32">+AC39</f>
        <v>-65</v>
      </c>
      <c r="AE39" s="101">
        <f t="shared" si="32"/>
        <v>-65</v>
      </c>
      <c r="AF39" s="101">
        <f t="shared" si="32"/>
        <v>-65</v>
      </c>
      <c r="AG39" s="169">
        <f t="shared" si="32"/>
        <v>-65</v>
      </c>
      <c r="AH39" s="101">
        <f>+AF39</f>
        <v>-65</v>
      </c>
      <c r="AI39" s="101">
        <f t="shared" ref="AI39:AL40" si="33">+AH39</f>
        <v>-65</v>
      </c>
      <c r="AJ39" s="101">
        <f t="shared" si="33"/>
        <v>-65</v>
      </c>
      <c r="AK39" s="101">
        <f t="shared" si="33"/>
        <v>-65</v>
      </c>
      <c r="AL39" s="169">
        <f t="shared" si="33"/>
        <v>-65</v>
      </c>
      <c r="AM39" s="101">
        <f>+AK39</f>
        <v>-65</v>
      </c>
      <c r="AN39" s="101">
        <f t="shared" ref="AN39:AQ40" si="34">+AM39</f>
        <v>-65</v>
      </c>
      <c r="AO39" s="101">
        <f t="shared" si="34"/>
        <v>-65</v>
      </c>
      <c r="AP39" s="101">
        <f t="shared" si="34"/>
        <v>-65</v>
      </c>
      <c r="AQ39" s="169">
        <f t="shared" si="34"/>
        <v>-65</v>
      </c>
      <c r="AR39" s="101">
        <f>+AP39</f>
        <v>-65</v>
      </c>
      <c r="AS39" s="101">
        <f t="shared" ref="AS39:AV40" si="35">+AR39</f>
        <v>-65</v>
      </c>
      <c r="AT39" s="101">
        <f t="shared" si="35"/>
        <v>-65</v>
      </c>
      <c r="AU39" s="101">
        <f t="shared" si="35"/>
        <v>-65</v>
      </c>
      <c r="AV39" s="169">
        <f t="shared" si="35"/>
        <v>-65</v>
      </c>
    </row>
    <row r="40" spans="1:48" ht="16.2" outlineLevel="1" x14ac:dyDescent="0.45">
      <c r="B40" s="265" t="s">
        <v>247</v>
      </c>
      <c r="C40" s="266"/>
      <c r="D40" s="260">
        <v>6.1</v>
      </c>
      <c r="E40" s="112">
        <v>1.7</v>
      </c>
      <c r="F40" s="112">
        <v>1.6</v>
      </c>
      <c r="G40" s="112">
        <v>1.2</v>
      </c>
      <c r="H40" s="261">
        <f>+G40</f>
        <v>1.2</v>
      </c>
      <c r="I40" s="112">
        <v>0.8</v>
      </c>
      <c r="J40" s="112">
        <v>-2.8</v>
      </c>
      <c r="K40" s="112">
        <v>-2.7</v>
      </c>
      <c r="L40" s="112">
        <v>5.7</v>
      </c>
      <c r="M40" s="262">
        <f>+L40</f>
        <v>5.7</v>
      </c>
      <c r="N40" s="112">
        <v>5.7</v>
      </c>
      <c r="O40" s="112">
        <v>5.7</v>
      </c>
      <c r="P40" s="112">
        <v>6.5</v>
      </c>
      <c r="Q40" s="112">
        <v>6.7</v>
      </c>
      <c r="R40" s="262">
        <f>+Q40</f>
        <v>6.7</v>
      </c>
      <c r="S40" s="112">
        <v>6.9</v>
      </c>
      <c r="T40" s="112">
        <v>6.8</v>
      </c>
      <c r="U40" s="112">
        <v>7.6</v>
      </c>
      <c r="V40" s="112">
        <f t="shared" si="30"/>
        <v>7.6</v>
      </c>
      <c r="W40" s="262">
        <f t="shared" si="30"/>
        <v>7.6</v>
      </c>
      <c r="X40" s="112">
        <f>+V40</f>
        <v>7.6</v>
      </c>
      <c r="Y40" s="112">
        <f t="shared" si="31"/>
        <v>7.6</v>
      </c>
      <c r="Z40" s="112">
        <f t="shared" si="31"/>
        <v>7.6</v>
      </c>
      <c r="AA40" s="112">
        <f t="shared" si="31"/>
        <v>7.6</v>
      </c>
      <c r="AB40" s="262">
        <f t="shared" si="31"/>
        <v>7.6</v>
      </c>
      <c r="AC40" s="112">
        <f>+AA40</f>
        <v>7.6</v>
      </c>
      <c r="AD40" s="112">
        <f t="shared" si="32"/>
        <v>7.6</v>
      </c>
      <c r="AE40" s="112">
        <f t="shared" si="32"/>
        <v>7.6</v>
      </c>
      <c r="AF40" s="112">
        <f t="shared" si="32"/>
        <v>7.6</v>
      </c>
      <c r="AG40" s="262">
        <f t="shared" si="32"/>
        <v>7.6</v>
      </c>
      <c r="AH40" s="112">
        <f>+AF40</f>
        <v>7.6</v>
      </c>
      <c r="AI40" s="112">
        <f t="shared" si="33"/>
        <v>7.6</v>
      </c>
      <c r="AJ40" s="112">
        <f t="shared" si="33"/>
        <v>7.6</v>
      </c>
      <c r="AK40" s="112">
        <f t="shared" si="33"/>
        <v>7.6</v>
      </c>
      <c r="AL40" s="262">
        <f t="shared" si="33"/>
        <v>7.6</v>
      </c>
      <c r="AM40" s="112">
        <f>+AK40</f>
        <v>7.6</v>
      </c>
      <c r="AN40" s="112">
        <f t="shared" si="34"/>
        <v>7.6</v>
      </c>
      <c r="AO40" s="112">
        <f t="shared" si="34"/>
        <v>7.6</v>
      </c>
      <c r="AP40" s="112">
        <f t="shared" si="34"/>
        <v>7.6</v>
      </c>
      <c r="AQ40" s="262">
        <f t="shared" si="34"/>
        <v>7.6</v>
      </c>
      <c r="AR40" s="112">
        <f>+AP40</f>
        <v>7.6</v>
      </c>
      <c r="AS40" s="112">
        <f t="shared" si="35"/>
        <v>7.6</v>
      </c>
      <c r="AT40" s="112">
        <f t="shared" si="35"/>
        <v>7.6</v>
      </c>
      <c r="AU40" s="112">
        <f t="shared" si="35"/>
        <v>7.6</v>
      </c>
      <c r="AV40" s="262">
        <f t="shared" si="35"/>
        <v>7.6</v>
      </c>
    </row>
    <row r="41" spans="1:48" outlineLevel="1" x14ac:dyDescent="0.3">
      <c r="B41" s="472" t="s">
        <v>248</v>
      </c>
      <c r="C41" s="473"/>
      <c r="D41" s="21">
        <f t="shared" ref="D41:AV41" si="36">SUM(D37:D40)</f>
        <v>-2878.7999999999997</v>
      </c>
      <c r="E41" s="21">
        <f t="shared" si="36"/>
        <v>-5035.2</v>
      </c>
      <c r="F41" s="21">
        <f t="shared" si="36"/>
        <v>-4319</v>
      </c>
      <c r="G41" s="21">
        <f t="shared" si="36"/>
        <v>-6231</v>
      </c>
      <c r="H41" s="22">
        <f t="shared" si="36"/>
        <v>-6231</v>
      </c>
      <c r="I41" s="21">
        <f t="shared" si="36"/>
        <v>-6759.0999999999995</v>
      </c>
      <c r="J41" s="21">
        <f t="shared" si="36"/>
        <v>-7532.9000000000005</v>
      </c>
      <c r="K41" s="21">
        <f t="shared" si="36"/>
        <v>-8624.2999999999993</v>
      </c>
      <c r="L41" s="21">
        <f t="shared" si="36"/>
        <v>-7799.4000000000005</v>
      </c>
      <c r="M41" s="22">
        <f t="shared" si="36"/>
        <v>-7799.4000000000005</v>
      </c>
      <c r="N41" s="21">
        <f t="shared" si="36"/>
        <v>-7904</v>
      </c>
      <c r="O41" s="21">
        <f t="shared" si="36"/>
        <v>-7648.3</v>
      </c>
      <c r="P41" s="21">
        <f t="shared" si="36"/>
        <v>-6794.3</v>
      </c>
      <c r="Q41" s="21">
        <f t="shared" si="36"/>
        <v>-5314.5</v>
      </c>
      <c r="R41" s="22">
        <f t="shared" si="36"/>
        <v>-5314.5</v>
      </c>
      <c r="S41" s="21">
        <f t="shared" si="36"/>
        <v>-8450.3000000000011</v>
      </c>
      <c r="T41" s="21">
        <f t="shared" si="36"/>
        <v>-8761.2000000000007</v>
      </c>
      <c r="U41" s="21">
        <f t="shared" si="36"/>
        <v>-8658.9</v>
      </c>
      <c r="V41" s="21">
        <f t="shared" si="36"/>
        <v>-8415.5015490489368</v>
      </c>
      <c r="W41" s="22">
        <f t="shared" si="36"/>
        <v>-8415.5015490489368</v>
      </c>
      <c r="X41" s="21">
        <f t="shared" si="36"/>
        <v>-8128.7865841948387</v>
      </c>
      <c r="Y41" s="21">
        <f t="shared" si="36"/>
        <v>-7872.9698911834139</v>
      </c>
      <c r="Z41" s="21">
        <f t="shared" si="36"/>
        <v>-7382.8377417694101</v>
      </c>
      <c r="AA41" s="21">
        <f t="shared" si="36"/>
        <v>-6851.453724521647</v>
      </c>
      <c r="AB41" s="22">
        <f t="shared" si="36"/>
        <v>-6851.453724521647</v>
      </c>
      <c r="AC41" s="21">
        <f t="shared" si="36"/>
        <v>-6256.925189479548</v>
      </c>
      <c r="AD41" s="21">
        <f t="shared" si="36"/>
        <v>-5864.5126287515604</v>
      </c>
      <c r="AE41" s="21">
        <f t="shared" si="36"/>
        <v>-5339.9378528109801</v>
      </c>
      <c r="AF41" s="21">
        <f t="shared" si="36"/>
        <v>-4858.04434693228</v>
      </c>
      <c r="AG41" s="22">
        <f t="shared" si="36"/>
        <v>-4858.04434693228</v>
      </c>
      <c r="AH41" s="21">
        <f t="shared" si="36"/>
        <v>-4192.6200727541382</v>
      </c>
      <c r="AI41" s="21">
        <f t="shared" si="36"/>
        <v>-3749.1972497187162</v>
      </c>
      <c r="AJ41" s="21">
        <f t="shared" si="36"/>
        <v>-8080.4813143569882</v>
      </c>
      <c r="AK41" s="21">
        <f t="shared" si="36"/>
        <v>-12535.240956022151</v>
      </c>
      <c r="AL41" s="22">
        <f t="shared" si="36"/>
        <v>-12535.240956022151</v>
      </c>
      <c r="AM41" s="21">
        <f t="shared" si="36"/>
        <v>-11941.803558945103</v>
      </c>
      <c r="AN41" s="21">
        <f t="shared" si="36"/>
        <v>-11600.541549120979</v>
      </c>
      <c r="AO41" s="21">
        <f t="shared" si="36"/>
        <v>-10904.911081813028</v>
      </c>
      <c r="AP41" s="21">
        <f t="shared" si="36"/>
        <v>-10284.241625244071</v>
      </c>
      <c r="AQ41" s="22">
        <f t="shared" si="36"/>
        <v>-10284.241625244071</v>
      </c>
      <c r="AR41" s="21">
        <f t="shared" si="36"/>
        <v>-9561.9386124981229</v>
      </c>
      <c r="AS41" s="21">
        <f t="shared" si="36"/>
        <v>-9106.7609146781579</v>
      </c>
      <c r="AT41" s="21">
        <f t="shared" si="36"/>
        <v>-8301.4808337625054</v>
      </c>
      <c r="AU41" s="21">
        <f t="shared" si="36"/>
        <v>-7579.3030254179448</v>
      </c>
      <c r="AV41" s="22">
        <f t="shared" si="36"/>
        <v>-7579.3030254179448</v>
      </c>
    </row>
    <row r="42" spans="1:48" outlineLevel="1" x14ac:dyDescent="0.3">
      <c r="B42" s="470" t="s">
        <v>249</v>
      </c>
      <c r="C42" s="471"/>
      <c r="D42" s="267">
        <f t="shared" ref="D42:AV42" si="37">D41+D35</f>
        <v>19981.300000000003</v>
      </c>
      <c r="E42" s="267">
        <f t="shared" si="37"/>
        <v>17641.899999999998</v>
      </c>
      <c r="F42" s="267">
        <f t="shared" si="37"/>
        <v>20894.400000000001</v>
      </c>
      <c r="G42" s="267">
        <f t="shared" si="37"/>
        <v>19219.599999999999</v>
      </c>
      <c r="H42" s="268">
        <f t="shared" si="37"/>
        <v>19219.599999999999</v>
      </c>
      <c r="I42" s="267">
        <f t="shared" si="37"/>
        <v>27731.300000000003</v>
      </c>
      <c r="J42" s="267">
        <f t="shared" si="37"/>
        <v>27478.9</v>
      </c>
      <c r="K42" s="267">
        <f t="shared" si="37"/>
        <v>29140.599999999995</v>
      </c>
      <c r="L42" s="267">
        <f t="shared" si="37"/>
        <v>29374.500000000007</v>
      </c>
      <c r="M42" s="268">
        <f t="shared" si="37"/>
        <v>29374.500000000007</v>
      </c>
      <c r="N42" s="267">
        <f t="shared" si="37"/>
        <v>29968.400000000001</v>
      </c>
      <c r="O42" s="267">
        <f t="shared" si="37"/>
        <v>28371.7</v>
      </c>
      <c r="P42" s="267">
        <f t="shared" si="37"/>
        <v>29476.799999999999</v>
      </c>
      <c r="Q42" s="267">
        <f t="shared" si="37"/>
        <v>31392.600000000006</v>
      </c>
      <c r="R42" s="268">
        <f t="shared" si="37"/>
        <v>31392.600000000006</v>
      </c>
      <c r="S42" s="267">
        <f t="shared" si="37"/>
        <v>28833.899999999994</v>
      </c>
      <c r="T42" s="267">
        <f t="shared" si="37"/>
        <v>29021.499999999996</v>
      </c>
      <c r="U42" s="267">
        <f t="shared" si="37"/>
        <v>28156.199999999997</v>
      </c>
      <c r="V42" s="267">
        <f t="shared" si="37"/>
        <v>28004.878285495273</v>
      </c>
      <c r="W42" s="268">
        <f t="shared" si="37"/>
        <v>28004.878285495273</v>
      </c>
      <c r="X42" s="267">
        <f t="shared" si="37"/>
        <v>28761.8953499462</v>
      </c>
      <c r="Y42" s="267">
        <f t="shared" si="37"/>
        <v>28615.107192740426</v>
      </c>
      <c r="Z42" s="267">
        <f t="shared" si="37"/>
        <v>29250.538472152646</v>
      </c>
      <c r="AA42" s="267">
        <f t="shared" si="37"/>
        <v>29548.429336829053</v>
      </c>
      <c r="AB42" s="268">
        <f t="shared" si="37"/>
        <v>29548.429336829053</v>
      </c>
      <c r="AC42" s="267">
        <f t="shared" si="37"/>
        <v>30689.130335318394</v>
      </c>
      <c r="AD42" s="267">
        <f t="shared" si="37"/>
        <v>30643.655704882978</v>
      </c>
      <c r="AE42" s="267">
        <f t="shared" si="37"/>
        <v>31306.106145245198</v>
      </c>
      <c r="AF42" s="267">
        <f t="shared" si="37"/>
        <v>31714.868865626391</v>
      </c>
      <c r="AG42" s="268">
        <f t="shared" si="37"/>
        <v>31714.868865626391</v>
      </c>
      <c r="AH42" s="267">
        <f t="shared" si="37"/>
        <v>32955.355949344106</v>
      </c>
      <c r="AI42" s="267">
        <f t="shared" si="37"/>
        <v>32939.38345116462</v>
      </c>
      <c r="AJ42" s="267">
        <f t="shared" si="37"/>
        <v>34082.477327231783</v>
      </c>
      <c r="AK42" s="267">
        <f t="shared" si="37"/>
        <v>29440.67537469689</v>
      </c>
      <c r="AL42" s="268">
        <f t="shared" si="37"/>
        <v>29440.67537469689</v>
      </c>
      <c r="AM42" s="267">
        <f t="shared" si="37"/>
        <v>30622.37311204819</v>
      </c>
      <c r="AN42" s="267">
        <f t="shared" si="37"/>
        <v>30451.421694784854</v>
      </c>
      <c r="AO42" s="267">
        <f t="shared" si="37"/>
        <v>31342.403058410055</v>
      </c>
      <c r="AP42" s="267">
        <f t="shared" si="37"/>
        <v>31767.719417467593</v>
      </c>
      <c r="AQ42" s="268">
        <f t="shared" si="37"/>
        <v>31767.719417467593</v>
      </c>
      <c r="AR42" s="267">
        <f t="shared" si="37"/>
        <v>33109.888928401029</v>
      </c>
      <c r="AS42" s="267">
        <f t="shared" si="37"/>
        <v>33017.146636493067</v>
      </c>
      <c r="AT42" s="267">
        <f t="shared" si="37"/>
        <v>34025.320773067826</v>
      </c>
      <c r="AU42" s="267">
        <f t="shared" si="37"/>
        <v>34549.266541527155</v>
      </c>
      <c r="AV42" s="268">
        <f t="shared" si="37"/>
        <v>34549.266541527155</v>
      </c>
    </row>
    <row r="43" spans="1:48" x14ac:dyDescent="0.3">
      <c r="B43" s="269"/>
      <c r="C43" s="270"/>
      <c r="D43" s="271">
        <f t="shared" ref="D43:AV43" si="38">ROUND((D42-D20),0)</f>
        <v>0</v>
      </c>
      <c r="E43" s="271">
        <f t="shared" si="38"/>
        <v>0</v>
      </c>
      <c r="F43" s="271">
        <f t="shared" si="38"/>
        <v>0</v>
      </c>
      <c r="G43" s="271">
        <f t="shared" si="38"/>
        <v>0</v>
      </c>
      <c r="H43" s="271">
        <f t="shared" si="38"/>
        <v>0</v>
      </c>
      <c r="I43" s="271">
        <f t="shared" si="38"/>
        <v>0</v>
      </c>
      <c r="J43" s="271">
        <f t="shared" si="38"/>
        <v>0</v>
      </c>
      <c r="K43" s="271">
        <f t="shared" si="38"/>
        <v>0</v>
      </c>
      <c r="L43" s="272">
        <f t="shared" si="38"/>
        <v>0</v>
      </c>
      <c r="M43" s="272">
        <f t="shared" si="38"/>
        <v>0</v>
      </c>
      <c r="N43" s="272">
        <f t="shared" si="38"/>
        <v>0</v>
      </c>
      <c r="O43" s="272">
        <f t="shared" si="38"/>
        <v>0</v>
      </c>
      <c r="P43" s="272">
        <f t="shared" si="38"/>
        <v>0</v>
      </c>
      <c r="Q43" s="272">
        <f t="shared" si="38"/>
        <v>0</v>
      </c>
      <c r="R43" s="272">
        <f t="shared" si="38"/>
        <v>0</v>
      </c>
      <c r="S43" s="272">
        <f t="shared" si="38"/>
        <v>0</v>
      </c>
      <c r="T43" s="272">
        <f t="shared" si="38"/>
        <v>0</v>
      </c>
      <c r="U43" s="272">
        <f t="shared" si="38"/>
        <v>0</v>
      </c>
      <c r="V43" s="272">
        <f t="shared" si="38"/>
        <v>0</v>
      </c>
      <c r="W43" s="272">
        <f t="shared" si="38"/>
        <v>0</v>
      </c>
      <c r="X43" s="272">
        <f t="shared" si="38"/>
        <v>0</v>
      </c>
      <c r="Y43" s="272">
        <f t="shared" si="38"/>
        <v>0</v>
      </c>
      <c r="Z43" s="272">
        <f t="shared" si="38"/>
        <v>0</v>
      </c>
      <c r="AA43" s="272">
        <f t="shared" si="38"/>
        <v>0</v>
      </c>
      <c r="AB43" s="272">
        <f t="shared" si="38"/>
        <v>0</v>
      </c>
      <c r="AC43" s="272">
        <f t="shared" si="38"/>
        <v>0</v>
      </c>
      <c r="AD43" s="272">
        <f t="shared" si="38"/>
        <v>0</v>
      </c>
      <c r="AE43" s="272">
        <f t="shared" si="38"/>
        <v>0</v>
      </c>
      <c r="AF43" s="272">
        <f t="shared" si="38"/>
        <v>0</v>
      </c>
      <c r="AG43" s="272">
        <f t="shared" si="38"/>
        <v>0</v>
      </c>
      <c r="AH43" s="272">
        <f t="shared" si="38"/>
        <v>0</v>
      </c>
      <c r="AI43" s="272">
        <f t="shared" si="38"/>
        <v>0</v>
      </c>
      <c r="AJ43" s="272">
        <f t="shared" si="38"/>
        <v>0</v>
      </c>
      <c r="AK43" s="272">
        <f t="shared" si="38"/>
        <v>0</v>
      </c>
      <c r="AL43" s="272">
        <f t="shared" si="38"/>
        <v>0</v>
      </c>
      <c r="AM43" s="272">
        <f t="shared" si="38"/>
        <v>0</v>
      </c>
      <c r="AN43" s="272">
        <f t="shared" si="38"/>
        <v>0</v>
      </c>
      <c r="AO43" s="272">
        <f t="shared" si="38"/>
        <v>0</v>
      </c>
      <c r="AP43" s="272">
        <f t="shared" si="38"/>
        <v>0</v>
      </c>
      <c r="AQ43" s="272">
        <f t="shared" si="38"/>
        <v>0</v>
      </c>
      <c r="AR43" s="272">
        <f t="shared" si="38"/>
        <v>0</v>
      </c>
      <c r="AS43" s="272">
        <f t="shared" si="38"/>
        <v>0</v>
      </c>
      <c r="AT43" s="272">
        <f t="shared" si="38"/>
        <v>0</v>
      </c>
      <c r="AU43" s="272">
        <f t="shared" si="38"/>
        <v>0</v>
      </c>
      <c r="AV43" s="272">
        <f t="shared" si="38"/>
        <v>0</v>
      </c>
    </row>
    <row r="44" spans="1:48" ht="15.6" x14ac:dyDescent="0.3">
      <c r="B44" s="433" t="s">
        <v>250</v>
      </c>
      <c r="C44" s="434"/>
      <c r="D44" s="13" t="s">
        <v>15</v>
      </c>
      <c r="E44" s="13" t="s">
        <v>82</v>
      </c>
      <c r="F44" s="13" t="s">
        <v>84</v>
      </c>
      <c r="G44" s="13" t="s">
        <v>147</v>
      </c>
      <c r="H44" s="39" t="s">
        <v>147</v>
      </c>
      <c r="I44" s="13" t="s">
        <v>146</v>
      </c>
      <c r="J44" s="13" t="s">
        <v>145</v>
      </c>
      <c r="K44" s="13" t="s">
        <v>144</v>
      </c>
      <c r="L44" s="13" t="s">
        <v>141</v>
      </c>
      <c r="M44" s="39" t="s">
        <v>141</v>
      </c>
      <c r="N44" s="13" t="s">
        <v>148</v>
      </c>
      <c r="O44" s="13" t="s">
        <v>156</v>
      </c>
      <c r="P44" s="13" t="s">
        <v>158</v>
      </c>
      <c r="Q44" s="13" t="s">
        <v>171</v>
      </c>
      <c r="R44" s="39" t="s">
        <v>171</v>
      </c>
      <c r="S44" s="13" t="s">
        <v>187</v>
      </c>
      <c r="T44" s="13" t="s">
        <v>190</v>
      </c>
      <c r="U44" s="13" t="s">
        <v>203</v>
      </c>
      <c r="V44" s="15" t="s">
        <v>20</v>
      </c>
      <c r="W44" s="41" t="s">
        <v>20</v>
      </c>
      <c r="X44" s="15" t="s">
        <v>21</v>
      </c>
      <c r="Y44" s="15" t="s">
        <v>22</v>
      </c>
      <c r="Z44" s="15" t="s">
        <v>23</v>
      </c>
      <c r="AA44" s="15" t="s">
        <v>24</v>
      </c>
      <c r="AB44" s="41" t="s">
        <v>24</v>
      </c>
      <c r="AC44" s="15" t="s">
        <v>86</v>
      </c>
      <c r="AD44" s="15" t="s">
        <v>87</v>
      </c>
      <c r="AE44" s="15" t="s">
        <v>88</v>
      </c>
      <c r="AF44" s="15" t="s">
        <v>89</v>
      </c>
      <c r="AG44" s="41" t="s">
        <v>89</v>
      </c>
      <c r="AH44" s="15" t="s">
        <v>105</v>
      </c>
      <c r="AI44" s="15" t="s">
        <v>106</v>
      </c>
      <c r="AJ44" s="15" t="s">
        <v>107</v>
      </c>
      <c r="AK44" s="15" t="s">
        <v>108</v>
      </c>
      <c r="AL44" s="41" t="s">
        <v>108</v>
      </c>
      <c r="AM44" s="15" t="s">
        <v>160</v>
      </c>
      <c r="AN44" s="15" t="s">
        <v>161</v>
      </c>
      <c r="AO44" s="15" t="s">
        <v>162</v>
      </c>
      <c r="AP44" s="15" t="s">
        <v>163</v>
      </c>
      <c r="AQ44" s="41" t="s">
        <v>163</v>
      </c>
      <c r="AR44" s="15" t="s">
        <v>191</v>
      </c>
      <c r="AS44" s="15" t="s">
        <v>192</v>
      </c>
      <c r="AT44" s="15" t="s">
        <v>193</v>
      </c>
      <c r="AU44" s="15" t="s">
        <v>194</v>
      </c>
      <c r="AV44" s="41" t="s">
        <v>194</v>
      </c>
    </row>
    <row r="45" spans="1:48" ht="16.2" x14ac:dyDescent="0.45">
      <c r="B45" s="467"/>
      <c r="C45" s="468"/>
      <c r="D45" s="14" t="s">
        <v>19</v>
      </c>
      <c r="E45" s="14" t="s">
        <v>81</v>
      </c>
      <c r="F45" s="14" t="s">
        <v>85</v>
      </c>
      <c r="G45" s="14" t="s">
        <v>95</v>
      </c>
      <c r="H45" s="40" t="s">
        <v>96</v>
      </c>
      <c r="I45" s="14" t="s">
        <v>97</v>
      </c>
      <c r="J45" s="14" t="s">
        <v>98</v>
      </c>
      <c r="K45" s="14" t="s">
        <v>99</v>
      </c>
      <c r="L45" s="14" t="s">
        <v>142</v>
      </c>
      <c r="M45" s="40" t="s">
        <v>143</v>
      </c>
      <c r="N45" s="14" t="s">
        <v>149</v>
      </c>
      <c r="O45" s="14" t="s">
        <v>157</v>
      </c>
      <c r="P45" s="14" t="s">
        <v>159</v>
      </c>
      <c r="Q45" s="14" t="s">
        <v>172</v>
      </c>
      <c r="R45" s="40" t="s">
        <v>173</v>
      </c>
      <c r="S45" s="14" t="s">
        <v>188</v>
      </c>
      <c r="T45" s="14" t="s">
        <v>189</v>
      </c>
      <c r="U45" s="14" t="s">
        <v>204</v>
      </c>
      <c r="V45" s="12" t="s">
        <v>25</v>
      </c>
      <c r="W45" s="42" t="s">
        <v>26</v>
      </c>
      <c r="X45" s="12" t="s">
        <v>27</v>
      </c>
      <c r="Y45" s="12" t="s">
        <v>28</v>
      </c>
      <c r="Z45" s="12" t="s">
        <v>29</v>
      </c>
      <c r="AA45" s="12" t="s">
        <v>30</v>
      </c>
      <c r="AB45" s="42" t="s">
        <v>31</v>
      </c>
      <c r="AC45" s="12" t="s">
        <v>90</v>
      </c>
      <c r="AD45" s="12" t="s">
        <v>91</v>
      </c>
      <c r="AE45" s="12" t="s">
        <v>92</v>
      </c>
      <c r="AF45" s="12" t="s">
        <v>93</v>
      </c>
      <c r="AG45" s="42" t="s">
        <v>94</v>
      </c>
      <c r="AH45" s="12" t="s">
        <v>109</v>
      </c>
      <c r="AI45" s="12" t="s">
        <v>110</v>
      </c>
      <c r="AJ45" s="12" t="s">
        <v>111</v>
      </c>
      <c r="AK45" s="12" t="s">
        <v>112</v>
      </c>
      <c r="AL45" s="42" t="s">
        <v>113</v>
      </c>
      <c r="AM45" s="12" t="s">
        <v>164</v>
      </c>
      <c r="AN45" s="12" t="s">
        <v>165</v>
      </c>
      <c r="AO45" s="12" t="s">
        <v>166</v>
      </c>
      <c r="AP45" s="12" t="s">
        <v>167</v>
      </c>
      <c r="AQ45" s="42" t="s">
        <v>168</v>
      </c>
      <c r="AR45" s="12" t="s">
        <v>195</v>
      </c>
      <c r="AS45" s="12" t="s">
        <v>196</v>
      </c>
      <c r="AT45" s="12" t="s">
        <v>197</v>
      </c>
      <c r="AU45" s="12" t="s">
        <v>198</v>
      </c>
      <c r="AV45" s="42" t="s">
        <v>199</v>
      </c>
    </row>
    <row r="46" spans="1:48" outlineLevel="1" x14ac:dyDescent="0.3">
      <c r="B46" s="200" t="s">
        <v>251</v>
      </c>
      <c r="C46" s="273"/>
      <c r="D46" s="274">
        <f>31+30+31</f>
        <v>92</v>
      </c>
      <c r="E46" s="274">
        <f>31+28+31</f>
        <v>90</v>
      </c>
      <c r="F46" s="274">
        <f>30+31+30</f>
        <v>91</v>
      </c>
      <c r="G46" s="274">
        <f>31+31+30</f>
        <v>92</v>
      </c>
      <c r="H46" s="122"/>
      <c r="I46" s="274">
        <f>31+30+31</f>
        <v>92</v>
      </c>
      <c r="J46" s="274">
        <f>31+29+31</f>
        <v>91</v>
      </c>
      <c r="K46" s="274">
        <f>30+31+30</f>
        <v>91</v>
      </c>
      <c r="L46" s="274">
        <f>31+31+30</f>
        <v>92</v>
      </c>
      <c r="M46" s="122"/>
      <c r="N46" s="274">
        <f>31+30+31</f>
        <v>92</v>
      </c>
      <c r="O46" s="274">
        <f>31+28+31</f>
        <v>90</v>
      </c>
      <c r="P46" s="274">
        <f>30+31+30</f>
        <v>91</v>
      </c>
      <c r="Q46" s="274">
        <f>31+31+30</f>
        <v>92</v>
      </c>
      <c r="R46" s="122"/>
      <c r="S46" s="274">
        <f>31+30+31</f>
        <v>92</v>
      </c>
      <c r="T46" s="274">
        <f>31+28+31</f>
        <v>90</v>
      </c>
      <c r="U46" s="274">
        <f>30+31+30</f>
        <v>91</v>
      </c>
      <c r="V46" s="274">
        <f>31+31+30</f>
        <v>92</v>
      </c>
      <c r="W46" s="122"/>
      <c r="X46" s="274">
        <f>31+30+31</f>
        <v>92</v>
      </c>
      <c r="Y46" s="274">
        <f>31+28+31</f>
        <v>90</v>
      </c>
      <c r="Z46" s="274">
        <f>30+31+30</f>
        <v>91</v>
      </c>
      <c r="AA46" s="274">
        <f>31+31+30</f>
        <v>92</v>
      </c>
      <c r="AB46" s="122"/>
      <c r="AC46" s="274">
        <f>31+30+31</f>
        <v>92</v>
      </c>
      <c r="AD46" s="274">
        <f>31+29+31</f>
        <v>91</v>
      </c>
      <c r="AE46" s="274">
        <f>30+31+30</f>
        <v>91</v>
      </c>
      <c r="AF46" s="274">
        <f>31+31+30</f>
        <v>92</v>
      </c>
      <c r="AG46" s="122"/>
      <c r="AH46" s="274">
        <f>31+30+31</f>
        <v>92</v>
      </c>
      <c r="AI46" s="274">
        <f>31+28+31</f>
        <v>90</v>
      </c>
      <c r="AJ46" s="274">
        <f>30+31+30</f>
        <v>91</v>
      </c>
      <c r="AK46" s="274">
        <f>31+31+30</f>
        <v>92</v>
      </c>
      <c r="AL46" s="122"/>
      <c r="AM46" s="274">
        <f>31+30+31</f>
        <v>92</v>
      </c>
      <c r="AN46" s="274">
        <f>31+28+31</f>
        <v>90</v>
      </c>
      <c r="AO46" s="274">
        <f>30+31+30</f>
        <v>91</v>
      </c>
      <c r="AP46" s="274">
        <f>31+31+30</f>
        <v>92</v>
      </c>
      <c r="AQ46" s="122"/>
      <c r="AR46" s="274">
        <f>31+30+31</f>
        <v>92</v>
      </c>
      <c r="AS46" s="274">
        <f>31+28+31</f>
        <v>90</v>
      </c>
      <c r="AT46" s="274">
        <f>30+31+30</f>
        <v>91</v>
      </c>
      <c r="AU46" s="274">
        <f>31+31+30</f>
        <v>92</v>
      </c>
      <c r="AV46" s="122"/>
    </row>
    <row r="47" spans="1:48" outlineLevel="1" x14ac:dyDescent="0.3">
      <c r="B47" s="435" t="s">
        <v>252</v>
      </c>
      <c r="C47" s="436"/>
      <c r="D47" s="275">
        <v>9.1942057111172737</v>
      </c>
      <c r="E47" s="276">
        <v>8.9623365548607161</v>
      </c>
      <c r="F47" s="276">
        <v>8.6301543131798635</v>
      </c>
      <c r="G47" s="276">
        <v>7.6757679180887379</v>
      </c>
      <c r="H47" s="126"/>
      <c r="I47" s="276">
        <v>7.8153287082920375</v>
      </c>
      <c r="J47" s="276">
        <v>6.3716259298618487</v>
      </c>
      <c r="K47" s="276">
        <v>4.7918510952218822</v>
      </c>
      <c r="L47" s="276">
        <v>7.0218474077428121</v>
      </c>
      <c r="M47" s="31"/>
      <c r="N47" s="276">
        <v>7.6006756756756761</v>
      </c>
      <c r="O47" s="276">
        <v>7.5755510111338324</v>
      </c>
      <c r="P47" s="276">
        <v>8.2270632133450388</v>
      </c>
      <c r="Q47" s="276">
        <v>8.6667021276595744</v>
      </c>
      <c r="R47" s="31"/>
      <c r="S47" s="276">
        <v>7.8075841334497138</v>
      </c>
      <c r="T47" s="276">
        <v>7.6211198722427387</v>
      </c>
      <c r="U47" s="276">
        <v>7.1111595846784761</v>
      </c>
      <c r="V47" s="277">
        <f>AVERAGE(Q47,L47,G47)</f>
        <v>7.7881058178303748</v>
      </c>
      <c r="W47" s="31"/>
      <c r="X47" s="277">
        <f t="shared" ref="X47:AA47" si="39">AVERAGE(S47,N47,I47)</f>
        <v>7.7411961724724749</v>
      </c>
      <c r="Y47" s="277">
        <f t="shared" si="39"/>
        <v>7.1894322710794727</v>
      </c>
      <c r="Z47" s="277">
        <f t="shared" si="39"/>
        <v>6.7100246310817999</v>
      </c>
      <c r="AA47" s="277">
        <f t="shared" si="39"/>
        <v>7.8255517844109201</v>
      </c>
      <c r="AB47" s="278"/>
      <c r="AC47" s="277">
        <f t="shared" ref="AC47" si="40">AVERAGE(X47,S47,N47)</f>
        <v>7.7164853271992895</v>
      </c>
      <c r="AD47" s="277">
        <f t="shared" ref="AD47" si="41">AVERAGE(Y47,T47,O47)</f>
        <v>7.4620343848186819</v>
      </c>
      <c r="AE47" s="277">
        <f t="shared" ref="AE47" si="42">AVERAGE(Z47,U47,P47)</f>
        <v>7.3494158097017719</v>
      </c>
      <c r="AF47" s="277">
        <f t="shared" ref="AF47" si="43">AVERAGE(AA47,V47,Q47)</f>
        <v>8.0934532433002904</v>
      </c>
      <c r="AG47" s="278"/>
      <c r="AH47" s="277">
        <f t="shared" ref="AH47" si="44">AVERAGE(AC47,X47,S47)</f>
        <v>7.7550885443738267</v>
      </c>
      <c r="AI47" s="277">
        <f t="shared" ref="AI47" si="45">AVERAGE(AD47,Y47,T47)</f>
        <v>7.4241955093802972</v>
      </c>
      <c r="AJ47" s="277">
        <f t="shared" ref="AJ47" si="46">AVERAGE(AE47,Z47,U47)</f>
        <v>7.0568666751540157</v>
      </c>
      <c r="AK47" s="277">
        <f t="shared" ref="AK47" si="47">AVERAGE(AF47,AA47,V47)</f>
        <v>7.9023702818471948</v>
      </c>
      <c r="AL47" s="278"/>
      <c r="AM47" s="277">
        <f t="shared" ref="AM47" si="48">AVERAGE(AH47,AC47,X47)</f>
        <v>7.7375900146818637</v>
      </c>
      <c r="AN47" s="277">
        <f t="shared" ref="AN47" si="49">AVERAGE(AI47,AD47,Y47)</f>
        <v>7.3585540550928172</v>
      </c>
      <c r="AO47" s="277">
        <f t="shared" ref="AO47" si="50">AVERAGE(AJ47,AE47,Z47)</f>
        <v>7.0387690386458628</v>
      </c>
      <c r="AP47" s="277">
        <f t="shared" ref="AP47" si="51">AVERAGE(AK47,AF47,AA47)</f>
        <v>7.9404584365194681</v>
      </c>
      <c r="AQ47" s="278"/>
      <c r="AR47" s="277">
        <f t="shared" ref="AR47" si="52">AVERAGE(AM47,AH47,AC47)</f>
        <v>7.7363879620849936</v>
      </c>
      <c r="AS47" s="277">
        <f t="shared" ref="AS47" si="53">AVERAGE(AN47,AI47,AD47)</f>
        <v>7.4149279830972654</v>
      </c>
      <c r="AT47" s="277">
        <f t="shared" ref="AT47" si="54">AVERAGE(AO47,AJ47,AE47)</f>
        <v>7.1483505078338831</v>
      </c>
      <c r="AU47" s="277">
        <f t="shared" ref="AU47" si="55">AVERAGE(AP47,AK47,AF47)</f>
        <v>7.9787606538889841</v>
      </c>
      <c r="AV47" s="278"/>
    </row>
    <row r="48" spans="1:48" s="23" customFormat="1" outlineLevel="1" x14ac:dyDescent="0.3">
      <c r="B48" s="443" t="s">
        <v>253</v>
      </c>
      <c r="C48" s="444"/>
      <c r="D48" s="279">
        <f>D46/D47</f>
        <v>10.00630210924661</v>
      </c>
      <c r="E48" s="279">
        <f>E46/E47</f>
        <v>10.042024136126486</v>
      </c>
      <c r="F48" s="274">
        <f>F46/F47</f>
        <v>10.544423274219552</v>
      </c>
      <c r="G48" s="274">
        <f>G46/G47</f>
        <v>11.985771453979545</v>
      </c>
      <c r="H48" s="126"/>
      <c r="I48" s="274">
        <f>I46/I47</f>
        <v>11.771737752039567</v>
      </c>
      <c r="J48" s="274">
        <f>J46/J47</f>
        <v>14.28206881598479</v>
      </c>
      <c r="K48" s="274">
        <f>K46/K47</f>
        <v>18.990573411335589</v>
      </c>
      <c r="L48" s="279">
        <f>L46/L47</f>
        <v>13.101965146459028</v>
      </c>
      <c r="M48" s="31"/>
      <c r="N48" s="279">
        <f>N46/N47</f>
        <v>12.104187038847897</v>
      </c>
      <c r="O48" s="279">
        <f>O46/O47</f>
        <v>11.880323935212958</v>
      </c>
      <c r="P48" s="279">
        <f>P46/P47</f>
        <v>11.061055159074236</v>
      </c>
      <c r="Q48" s="279">
        <f>Q46/Q47</f>
        <v>10.615341181091731</v>
      </c>
      <c r="R48" s="31"/>
      <c r="S48" s="279">
        <f>S46/S47</f>
        <v>11.783414488721057</v>
      </c>
      <c r="T48" s="279">
        <f>T46/T47</f>
        <v>11.809288071664309</v>
      </c>
      <c r="U48" s="279">
        <f>U46/U47</f>
        <v>12.79678776947522</v>
      </c>
      <c r="V48" s="279">
        <f>V46/V47</f>
        <v>11.812885206229714</v>
      </c>
      <c r="W48" s="31"/>
      <c r="X48" s="279">
        <f>X46/X47</f>
        <v>11.884468233365535</v>
      </c>
      <c r="Y48" s="279">
        <f>Y46/Y47</f>
        <v>12.518373719443463</v>
      </c>
      <c r="Z48" s="279">
        <f>Z46/Z47</f>
        <v>13.561798205400752</v>
      </c>
      <c r="AA48" s="279">
        <f>AA46/AA47</f>
        <v>11.756359491898172</v>
      </c>
      <c r="AB48" s="31"/>
      <c r="AC48" s="279">
        <f>AC46/AC47</f>
        <v>11.922526396274707</v>
      </c>
      <c r="AD48" s="279">
        <f>AD46/AD47</f>
        <v>12.195065756482867</v>
      </c>
      <c r="AE48" s="279">
        <f>AE46/AE47</f>
        <v>12.381936517984638</v>
      </c>
      <c r="AF48" s="279">
        <f>AF46/AF47</f>
        <v>11.367212144724135</v>
      </c>
      <c r="AG48" s="31"/>
      <c r="AH48" s="279">
        <f>AH46/AH47</f>
        <v>11.863178540591171</v>
      </c>
      <c r="AI48" s="279">
        <f>AI46/AI47</f>
        <v>12.122525583585064</v>
      </c>
      <c r="AJ48" s="279">
        <f>AJ46/AJ47</f>
        <v>12.89524149866611</v>
      </c>
      <c r="AK48" s="279">
        <f>AK46/AK47</f>
        <v>11.642076581925849</v>
      </c>
      <c r="AL48" s="31"/>
      <c r="AM48" s="279">
        <f>AM46/AM47</f>
        <v>11.890007072671533</v>
      </c>
      <c r="AN48" s="279">
        <f>AN46/AN47</f>
        <v>12.230663704605318</v>
      </c>
      <c r="AO48" s="279">
        <f>AO46/AO47</f>
        <v>12.928396925708309</v>
      </c>
      <c r="AP48" s="279">
        <f>AP46/AP47</f>
        <v>11.58623280198495</v>
      </c>
      <c r="AQ48" s="31"/>
      <c r="AR48" s="279">
        <f>AR46/AR47</f>
        <v>11.89185449991388</v>
      </c>
      <c r="AS48" s="279">
        <f>AS46/AS47</f>
        <v>12.137676887106648</v>
      </c>
      <c r="AT48" s="279">
        <f>AT46/AT47</f>
        <v>12.730209563769016</v>
      </c>
      <c r="AU48" s="279">
        <f>AU46/AU47</f>
        <v>11.530612834608297</v>
      </c>
      <c r="AV48" s="31"/>
    </row>
    <row r="49" spans="2:48" outlineLevel="1" x14ac:dyDescent="0.3">
      <c r="B49" s="435" t="s">
        <v>254</v>
      </c>
      <c r="C49" s="436"/>
      <c r="D49" s="275">
        <v>1.6062306215857083</v>
      </c>
      <c r="E49" s="275">
        <v>1.3943173943173943</v>
      </c>
      <c r="F49" s="276">
        <v>1.4497759029791721</v>
      </c>
      <c r="G49" s="276">
        <v>1.3989146070354381</v>
      </c>
      <c r="H49" s="126"/>
      <c r="I49" s="276">
        <v>1.5875630013487614</v>
      </c>
      <c r="J49" s="276">
        <v>1.3387615601125855</v>
      </c>
      <c r="K49" s="276">
        <v>0.93698699330723578</v>
      </c>
      <c r="L49" s="276">
        <v>1.2742039448240299</v>
      </c>
      <c r="M49" s="31"/>
      <c r="N49" s="276">
        <v>1.3925246347264695</v>
      </c>
      <c r="O49" s="276">
        <v>1.3250864591646716</v>
      </c>
      <c r="P49" s="276">
        <v>1.4248805063945227</v>
      </c>
      <c r="Q49" s="276">
        <v>1.5531516927489244</v>
      </c>
      <c r="R49" s="31"/>
      <c r="S49" s="276">
        <v>1.5435220817298883</v>
      </c>
      <c r="T49" s="276">
        <v>1.2842708333333335</v>
      </c>
      <c r="U49" s="276">
        <v>1.2253739040742651</v>
      </c>
      <c r="V49" s="277">
        <f>AVERAGE(Q49,L49,G49)</f>
        <v>1.4087567482027976</v>
      </c>
      <c r="W49" s="31"/>
      <c r="X49" s="277">
        <f t="shared" ref="X49" si="56">AVERAGE(S49,N49,I49)</f>
        <v>1.5078699059350396</v>
      </c>
      <c r="Y49" s="277">
        <f t="shared" ref="Y49" si="57">AVERAGE(T49,O49,J49)</f>
        <v>1.3160396175368636</v>
      </c>
      <c r="Z49" s="277">
        <f t="shared" ref="Z49" si="58">AVERAGE(U49,P49,K49)</f>
        <v>1.1957471345920079</v>
      </c>
      <c r="AA49" s="277">
        <f t="shared" ref="AA49" si="59">AVERAGE(V49,Q49,L49)</f>
        <v>1.4120374619252507</v>
      </c>
      <c r="AB49" s="278"/>
      <c r="AC49" s="277">
        <f t="shared" ref="AC49" si="60">AVERAGE(X49,S49,N49)</f>
        <v>1.4813055407971323</v>
      </c>
      <c r="AD49" s="277">
        <f t="shared" ref="AD49" si="61">AVERAGE(Y49,T49,O49)</f>
        <v>1.3084656366782896</v>
      </c>
      <c r="AE49" s="277">
        <f t="shared" ref="AE49" si="62">AVERAGE(Z49,U49,P49)</f>
        <v>1.2820005150202654</v>
      </c>
      <c r="AF49" s="277">
        <f t="shared" ref="AF49" si="63">AVERAGE(AA49,V49,Q49)</f>
        <v>1.4579819676256578</v>
      </c>
      <c r="AG49" s="278"/>
      <c r="AH49" s="277">
        <f t="shared" ref="AH49" si="64">AVERAGE(AC49,X49,S49)</f>
        <v>1.5108991761540198</v>
      </c>
      <c r="AI49" s="277">
        <f t="shared" ref="AI49" si="65">AVERAGE(AD49,Y49,T49)</f>
        <v>1.3029253625161621</v>
      </c>
      <c r="AJ49" s="277">
        <f t="shared" ref="AJ49" si="66">AVERAGE(AE49,Z49,U49)</f>
        <v>1.234373851228846</v>
      </c>
      <c r="AK49" s="277">
        <f t="shared" ref="AK49" si="67">AVERAGE(AF49,AA49,V49)</f>
        <v>1.4262587259179023</v>
      </c>
      <c r="AL49" s="278"/>
      <c r="AM49" s="277">
        <f t="shared" ref="AM49" si="68">AVERAGE(AH49,AC49,X49)</f>
        <v>1.500024874295397</v>
      </c>
      <c r="AN49" s="277">
        <f t="shared" ref="AN49" si="69">AVERAGE(AI49,AD49,Y49)</f>
        <v>1.3091435389104384</v>
      </c>
      <c r="AO49" s="277">
        <f t="shared" ref="AO49" si="70">AVERAGE(AJ49,AE49,Z49)</f>
        <v>1.2373738336137066</v>
      </c>
      <c r="AP49" s="277">
        <f t="shared" ref="AP49" si="71">AVERAGE(AK49,AF49,AA49)</f>
        <v>1.4320927184896035</v>
      </c>
      <c r="AQ49" s="278"/>
      <c r="AR49" s="277">
        <f t="shared" ref="AR49" si="72">AVERAGE(AM49,AH49,AC49)</f>
        <v>1.4974098637488495</v>
      </c>
      <c r="AS49" s="277">
        <f t="shared" ref="AS49" si="73">AVERAGE(AN49,AI49,AD49)</f>
        <v>1.3068448460349635</v>
      </c>
      <c r="AT49" s="277">
        <f t="shared" ref="AT49" si="74">AVERAGE(AO49,AJ49,AE49)</f>
        <v>1.2512493999542726</v>
      </c>
      <c r="AU49" s="277">
        <f t="shared" ref="AU49" si="75">AVERAGE(AP49,AK49,AF49)</f>
        <v>1.4387778040110544</v>
      </c>
      <c r="AV49" s="278"/>
    </row>
    <row r="50" spans="2:48" s="23" customFormat="1" outlineLevel="1" x14ac:dyDescent="0.3">
      <c r="B50" s="443" t="s">
        <v>253</v>
      </c>
      <c r="C50" s="444"/>
      <c r="D50" s="279">
        <f>D46/D49</f>
        <v>57.276955602536987</v>
      </c>
      <c r="E50" s="279">
        <f>E46/E49</f>
        <v>64.547713717693838</v>
      </c>
      <c r="F50" s="274">
        <f>F46/F49</f>
        <v>62.768321513002363</v>
      </c>
      <c r="G50" s="274">
        <f>G46/G49</f>
        <v>65.765272259873825</v>
      </c>
      <c r="H50" s="126"/>
      <c r="I50" s="274">
        <f>I46/I49</f>
        <v>57.950456090144868</v>
      </c>
      <c r="J50" s="274">
        <f>J46/J49</f>
        <v>67.973269259648589</v>
      </c>
      <c r="K50" s="274">
        <f>K46/K49</f>
        <v>97.119811320754721</v>
      </c>
      <c r="L50" s="279">
        <f>L46/L49</f>
        <v>72.201942533387296</v>
      </c>
      <c r="M50" s="31"/>
      <c r="N50" s="279">
        <f>N46/N49</f>
        <v>66.067053828510083</v>
      </c>
      <c r="O50" s="279">
        <f>O46/O49</f>
        <v>67.920096366191515</v>
      </c>
      <c r="P50" s="279">
        <f>P46/P49</f>
        <v>63.865004533091565</v>
      </c>
      <c r="Q50" s="279">
        <f>Q46/Q49</f>
        <v>59.234394444221429</v>
      </c>
      <c r="R50" s="31"/>
      <c r="S50" s="279">
        <f>S46/S49</f>
        <v>59.603941588507659</v>
      </c>
      <c r="T50" s="279">
        <f>T46/T49</f>
        <v>70.078676291670035</v>
      </c>
      <c r="U50" s="279">
        <f>U46/U49</f>
        <v>74.263047138047142</v>
      </c>
      <c r="V50" s="279">
        <f>V46/V49</f>
        <v>65.305809620694106</v>
      </c>
      <c r="W50" s="31"/>
      <c r="X50" s="279">
        <f>X46/X49</f>
        <v>61.01322112596327</v>
      </c>
      <c r="Y50" s="279">
        <f>Y46/Y49</f>
        <v>68.38699899357627</v>
      </c>
      <c r="Z50" s="279">
        <f>Z46/Z49</f>
        <v>76.103046678886201</v>
      </c>
      <c r="AA50" s="279">
        <f>AA46/AA49</f>
        <v>65.154078755504173</v>
      </c>
      <c r="AB50" s="31"/>
      <c r="AC50" s="279">
        <f>AC46/AC49</f>
        <v>62.1073758695942</v>
      </c>
      <c r="AD50" s="279">
        <f>AD46/AD49</f>
        <v>69.547107275216902</v>
      </c>
      <c r="AE50" s="279">
        <f>AE46/AE49</f>
        <v>70.982810797514773</v>
      </c>
      <c r="AF50" s="279">
        <f>AF46/AF49</f>
        <v>63.100917599017478</v>
      </c>
      <c r="AG50" s="31"/>
      <c r="AH50" s="279">
        <f>AH46/AH49</f>
        <v>60.890892954343364</v>
      </c>
      <c r="AI50" s="279">
        <f>AI46/AI49</f>
        <v>69.075330474951585</v>
      </c>
      <c r="AJ50" s="279">
        <f>AJ46/AJ49</f>
        <v>73.721587596340868</v>
      </c>
      <c r="AK50" s="279">
        <f>AK46/AK49</f>
        <v>64.504425689519437</v>
      </c>
      <c r="AL50" s="31"/>
      <c r="AM50" s="279">
        <f>AM46/AM49</f>
        <v>61.332316267898513</v>
      </c>
      <c r="AN50" s="279">
        <f>AN46/AN49</f>
        <v>68.747236131879276</v>
      </c>
      <c r="AO50" s="279">
        <f>AO46/AO49</f>
        <v>73.542851422870086</v>
      </c>
      <c r="AP50" s="279">
        <f>AP46/AP49</f>
        <v>64.241650566473353</v>
      </c>
      <c r="AQ50" s="31"/>
      <c r="AR50" s="279">
        <f>AR46/AR49</f>
        <v>61.439424320120906</v>
      </c>
      <c r="AS50" s="279">
        <f>AS46/AS49</f>
        <v>68.868160036797605</v>
      </c>
      <c r="AT50" s="279">
        <f>AT46/AT49</f>
        <v>72.727307604163983</v>
      </c>
      <c r="AU50" s="279">
        <f>AU46/AU49</f>
        <v>63.943160468225535</v>
      </c>
      <c r="AV50" s="31"/>
    </row>
    <row r="51" spans="2:48" s="23" customFormat="1" outlineLevel="1" x14ac:dyDescent="0.3">
      <c r="B51" s="435" t="s">
        <v>255</v>
      </c>
      <c r="C51" s="436"/>
      <c r="D51" s="275">
        <v>1.9771013175829171</v>
      </c>
      <c r="E51" s="275">
        <v>1.8345946931704202</v>
      </c>
      <c r="F51" s="276">
        <v>1.9203771608171816</v>
      </c>
      <c r="G51" s="276">
        <v>1.7983525258468513</v>
      </c>
      <c r="H51" s="127"/>
      <c r="I51" s="276">
        <v>2.0600589535740608</v>
      </c>
      <c r="J51" s="276">
        <v>2.0023053021950488</v>
      </c>
      <c r="K51" s="276">
        <v>1.7239776951672863</v>
      </c>
      <c r="L51" s="276">
        <v>1.9809600160336707</v>
      </c>
      <c r="M51" s="280"/>
      <c r="N51" s="276">
        <v>1.9504092899295642</v>
      </c>
      <c r="O51" s="276">
        <v>1.9276315789473686</v>
      </c>
      <c r="P51" s="276">
        <v>1.9574090505767525</v>
      </c>
      <c r="Q51" s="276">
        <v>2.0560415978870914</v>
      </c>
      <c r="R51" s="280"/>
      <c r="S51" s="276">
        <v>1.9597487203350394</v>
      </c>
      <c r="T51" s="276">
        <v>1.8546822113576533</v>
      </c>
      <c r="U51" s="276">
        <v>1.7543294401933145</v>
      </c>
      <c r="V51" s="277">
        <f>AVERAGE(Q51,L51,G51)</f>
        <v>1.9451180465892044</v>
      </c>
      <c r="W51" s="280"/>
      <c r="X51" s="277">
        <f t="shared" ref="X51" si="76">AVERAGE(S51,N51,I51)</f>
        <v>1.9900723212795548</v>
      </c>
      <c r="Y51" s="277">
        <f t="shared" ref="Y51" si="77">AVERAGE(T51,O51,J51)</f>
        <v>1.9282063641666902</v>
      </c>
      <c r="Z51" s="277">
        <f t="shared" ref="Z51" si="78">AVERAGE(U51,P51,K51)</f>
        <v>1.8119053953124509</v>
      </c>
      <c r="AA51" s="277">
        <f t="shared" ref="AA51" si="79">AVERAGE(V51,Q51,L51)</f>
        <v>1.9940398868366556</v>
      </c>
      <c r="AB51" s="31"/>
      <c r="AC51" s="277">
        <f t="shared" ref="AC51" si="80">AVERAGE(X51,S51,N51)</f>
        <v>1.9667434438480529</v>
      </c>
      <c r="AD51" s="277">
        <f t="shared" ref="AD51" si="81">AVERAGE(Y51,T51,O51)</f>
        <v>1.9035067181572376</v>
      </c>
      <c r="AE51" s="277">
        <f t="shared" ref="AE51" si="82">AVERAGE(Z51,U51,P51)</f>
        <v>1.8412146286941729</v>
      </c>
      <c r="AF51" s="277">
        <f t="shared" ref="AF51" si="83">AVERAGE(AA51,V51,Q51)</f>
        <v>1.9983998437709838</v>
      </c>
      <c r="AG51" s="31"/>
      <c r="AH51" s="277">
        <f t="shared" ref="AH51" si="84">AVERAGE(AC51,X51,S51)</f>
        <v>1.9721881618208823</v>
      </c>
      <c r="AI51" s="277">
        <f t="shared" ref="AI51" si="85">AVERAGE(AD51,Y51,T51)</f>
        <v>1.8954650978938605</v>
      </c>
      <c r="AJ51" s="277">
        <f t="shared" ref="AJ51" si="86">AVERAGE(AE51,Z51,U51)</f>
        <v>1.8024831547333129</v>
      </c>
      <c r="AK51" s="277">
        <f t="shared" ref="AK51" si="87">AVERAGE(AF51,AA51,V51)</f>
        <v>1.9791859257322812</v>
      </c>
      <c r="AL51" s="31"/>
      <c r="AM51" s="277">
        <f t="shared" ref="AM51" si="88">AVERAGE(AH51,AC51,X51)</f>
        <v>1.9763346423161634</v>
      </c>
      <c r="AN51" s="277">
        <f t="shared" ref="AN51" si="89">AVERAGE(AI51,AD51,Y51)</f>
        <v>1.9090593934059295</v>
      </c>
      <c r="AO51" s="277">
        <f t="shared" ref="AO51" si="90">AVERAGE(AJ51,AE51,Z51)</f>
        <v>1.8185343929133122</v>
      </c>
      <c r="AP51" s="277">
        <f t="shared" ref="AP51" si="91">AVERAGE(AK51,AF51,AA51)</f>
        <v>1.9905418854466401</v>
      </c>
      <c r="AQ51" s="31"/>
      <c r="AR51" s="277">
        <f t="shared" ref="AR51" si="92">AVERAGE(AM51,AH51,AC51)</f>
        <v>1.9717554159950328</v>
      </c>
      <c r="AS51" s="277">
        <f t="shared" ref="AS51" si="93">AVERAGE(AN51,AI51,AD51)</f>
        <v>1.9026770698190092</v>
      </c>
      <c r="AT51" s="277">
        <f t="shared" ref="AT51" si="94">AVERAGE(AO51,AJ51,AE51)</f>
        <v>1.8207440587802661</v>
      </c>
      <c r="AU51" s="277">
        <f t="shared" ref="AU51" si="95">AVERAGE(AP51,AK51,AF51)</f>
        <v>1.9893758849833016</v>
      </c>
      <c r="AV51" s="31"/>
    </row>
    <row r="52" spans="2:48" s="23" customFormat="1" outlineLevel="1" x14ac:dyDescent="0.3">
      <c r="B52" s="443" t="s">
        <v>256</v>
      </c>
      <c r="C52" s="444"/>
      <c r="D52" s="16">
        <f>D46/D51</f>
        <v>46.532769556025364</v>
      </c>
      <c r="E52" s="16">
        <f>E46/E51</f>
        <v>49.057157057654081</v>
      </c>
      <c r="F52" s="101">
        <f>F46/F51</f>
        <v>47.386524822695037</v>
      </c>
      <c r="G52" s="101">
        <f>G46/G51</f>
        <v>51.157934096751603</v>
      </c>
      <c r="H52" s="128"/>
      <c r="I52" s="101">
        <f>I46/I51</f>
        <v>44.658916115185114</v>
      </c>
      <c r="J52" s="101">
        <f>J46/J51</f>
        <v>45.447614756970509</v>
      </c>
      <c r="K52" s="101">
        <f>K46/K51</f>
        <v>52.784905660377355</v>
      </c>
      <c r="L52" s="16">
        <f>L46/L51</f>
        <v>46.44212869283691</v>
      </c>
      <c r="M52" s="28"/>
      <c r="N52" s="16">
        <f>N46/N51</f>
        <v>47.169586647796592</v>
      </c>
      <c r="O52" s="16">
        <f>O46/O51</f>
        <v>46.689419795221838</v>
      </c>
      <c r="P52" s="16">
        <f>P46/P51</f>
        <v>46.490027198549406</v>
      </c>
      <c r="Q52" s="16">
        <f>Q46/Q51</f>
        <v>44.74617638794107</v>
      </c>
      <c r="R52" s="28"/>
      <c r="S52" s="16">
        <f>S46/S51</f>
        <v>46.944794016383717</v>
      </c>
      <c r="T52" s="16">
        <f>T46/T51</f>
        <v>48.525833400924647</v>
      </c>
      <c r="U52" s="16">
        <f>U46/U51</f>
        <v>51.871671258034894</v>
      </c>
      <c r="V52" s="16">
        <f>V46/V51</f>
        <v>47.297900588256567</v>
      </c>
      <c r="W52" s="28"/>
      <c r="X52" s="16">
        <f>X46/X51</f>
        <v>46.229475691037628</v>
      </c>
      <c r="Y52" s="16">
        <f>Y46/Y51</f>
        <v>46.675501996330745</v>
      </c>
      <c r="Z52" s="16">
        <f>Z46/Z51</f>
        <v>50.223372718810005</v>
      </c>
      <c r="AA52" s="16">
        <f>AA46/AA51</f>
        <v>46.137492337702824</v>
      </c>
      <c r="AB52" s="28"/>
      <c r="AC52" s="16">
        <f>AC46/AC51</f>
        <v>46.77783484560468</v>
      </c>
      <c r="AD52" s="16">
        <f>AD46/AD51</f>
        <v>47.80650319327269</v>
      </c>
      <c r="AE52" s="16">
        <f>AE46/AE51</f>
        <v>49.423895824974551</v>
      </c>
      <c r="AF52" s="16">
        <f>AF46/AF51</f>
        <v>46.036833062594646</v>
      </c>
      <c r="AG52" s="28"/>
      <c r="AH52" s="16">
        <f>AH46/AH51</f>
        <v>46.648692949793499</v>
      </c>
      <c r="AI52" s="16">
        <f>AI46/AI51</f>
        <v>47.481750046467852</v>
      </c>
      <c r="AJ52" s="16">
        <f>AJ46/AJ51</f>
        <v>50.485908709345992</v>
      </c>
      <c r="AK52" s="16">
        <f>AK46/AK51</f>
        <v>46.483758197684644</v>
      </c>
      <c r="AL52" s="28"/>
      <c r="AM52" s="16">
        <f>AM46/AM51</f>
        <v>46.550820913699461</v>
      </c>
      <c r="AN52" s="16">
        <f>AN46/AN51</f>
        <v>47.143635400170609</v>
      </c>
      <c r="AO52" s="16">
        <f>AO46/AO51</f>
        <v>50.040296380766819</v>
      </c>
      <c r="AP52" s="16">
        <f>AP46/AP51</f>
        <v>46.218570266034334</v>
      </c>
      <c r="AQ52" s="28"/>
      <c r="AR52" s="16">
        <f>AR46/AR51</f>
        <v>46.658931048794827</v>
      </c>
      <c r="AS52" s="16">
        <f>AS46/AS51</f>
        <v>47.301773604998132</v>
      </c>
      <c r="AT52" s="16">
        <f>AT46/AT51</f>
        <v>49.979567178135831</v>
      </c>
      <c r="AU52" s="16">
        <f>AU46/AU51</f>
        <v>46.245659603324398</v>
      </c>
      <c r="AV52" s="28"/>
    </row>
    <row r="53" spans="2:48" s="23" customFormat="1" outlineLevel="1" x14ac:dyDescent="0.3">
      <c r="B53" s="435" t="s">
        <v>257</v>
      </c>
      <c r="C53" s="436"/>
      <c r="D53" s="30">
        <f t="shared" ref="D53:L53" si="96">(D12+D7)/D20</f>
        <v>2.4783172266068774E-2</v>
      </c>
      <c r="E53" s="30">
        <f t="shared" si="96"/>
        <v>1.862044337628033E-2</v>
      </c>
      <c r="F53" s="118">
        <f t="shared" si="96"/>
        <v>1.4104190097872643E-2</v>
      </c>
      <c r="G53" s="118">
        <f t="shared" si="96"/>
        <v>1.5114935950133718E-2</v>
      </c>
      <c r="H53" s="128">
        <f t="shared" si="96"/>
        <v>1.5114935950133718E-2</v>
      </c>
      <c r="I53" s="118">
        <f t="shared" si="96"/>
        <v>9.6713821566244626E-3</v>
      </c>
      <c r="J53" s="118">
        <f t="shared" si="96"/>
        <v>9.1597553031598795E-3</v>
      </c>
      <c r="K53" s="118">
        <f t="shared" si="96"/>
        <v>1.5555616562459249E-2</v>
      </c>
      <c r="L53" s="118">
        <f t="shared" si="96"/>
        <v>1.6589218539890038E-2</v>
      </c>
      <c r="M53" s="28"/>
      <c r="N53" s="118">
        <f>(N12+N7)/N20</f>
        <v>1.4228367975494099E-2</v>
      </c>
      <c r="O53" s="118">
        <f>(O12+O7)/O20</f>
        <v>1.4373528458035493E-2</v>
      </c>
      <c r="P53" s="118">
        <f>(P12+P7)/P20</f>
        <v>1.4910030939586384E-2</v>
      </c>
      <c r="Q53" s="118">
        <f>(Q12+Q7)/Q20</f>
        <v>1.4140275096678831E-2</v>
      </c>
      <c r="R53" s="28"/>
      <c r="S53" s="118">
        <f>(S12+S7)/S20</f>
        <v>1.3421701538813684E-2</v>
      </c>
      <c r="T53" s="118">
        <f>(T12+T7)/T20</f>
        <v>1.2669917130403319E-2</v>
      </c>
      <c r="U53" s="118">
        <f>(U12+U7)/U20</f>
        <v>1.3119668137035531E-2</v>
      </c>
      <c r="V53" s="34">
        <f>AVERAGE(Q53,S53,T53,U53)</f>
        <v>1.3337890475732842E-2</v>
      </c>
      <c r="W53" s="28"/>
      <c r="X53" s="34">
        <f>AVERAGE(S53,T53,U53,V53)</f>
        <v>1.3137294320496344E-2</v>
      </c>
      <c r="Y53" s="34">
        <f>AVERAGE(T53,U53,V53,X53)</f>
        <v>1.306619251591701E-2</v>
      </c>
      <c r="Z53" s="34">
        <f>AVERAGE(U53,V53,X53,Y53)</f>
        <v>1.3165261362295431E-2</v>
      </c>
      <c r="AA53" s="34">
        <f>AVERAGE(V53,X53,Y53,Z53)</f>
        <v>1.3176659668610407E-2</v>
      </c>
      <c r="AB53" s="28"/>
      <c r="AC53" s="34">
        <f>AVERAGE(X53,Y53,Z53,AA53)</f>
        <v>1.3136351966829798E-2</v>
      </c>
      <c r="AD53" s="34">
        <f>AVERAGE(Y53,Z53,AA53,AC53)</f>
        <v>1.3136116378413162E-2</v>
      </c>
      <c r="AE53" s="34">
        <f>AVERAGE(Z53,AA53,AC53,AD53)</f>
        <v>1.3153597344037201E-2</v>
      </c>
      <c r="AF53" s="34">
        <f>AVERAGE(AA53,AC53,AD53,AE53)</f>
        <v>1.3150681339472642E-2</v>
      </c>
      <c r="AG53" s="28"/>
      <c r="AH53" s="34">
        <f>AVERAGE(AC53,AD53,AE53,AF53)</f>
        <v>1.31441867571882E-2</v>
      </c>
      <c r="AI53" s="34">
        <f>AVERAGE(AD53,AE53,AF53,AH53)</f>
        <v>1.31461454547778E-2</v>
      </c>
      <c r="AJ53" s="34">
        <f>AVERAGE(AE53,AF53,AH53,AI53)</f>
        <v>1.3148652723868962E-2</v>
      </c>
      <c r="AK53" s="34">
        <f>AVERAGE(AF53,AH53,AI53,AJ53)</f>
        <v>1.3147416568826901E-2</v>
      </c>
      <c r="AL53" s="28"/>
      <c r="AM53" s="34">
        <f>AVERAGE(AH53,AI53,AJ53,AK53)</f>
        <v>1.3146600376165465E-2</v>
      </c>
      <c r="AN53" s="34">
        <f>AVERAGE(AI53,AJ53,AK53,AM53)</f>
        <v>1.3147203780909781E-2</v>
      </c>
      <c r="AO53" s="34">
        <f>AVERAGE(AJ53,AK53,AM53,AN53)</f>
        <v>1.3147468362442776E-2</v>
      </c>
      <c r="AP53" s="34">
        <f>AVERAGE(AK53,AM53,AN53,AO53)</f>
        <v>1.3147172272086231E-2</v>
      </c>
      <c r="AQ53" s="28"/>
      <c r="AR53" s="34">
        <f>AVERAGE(AM53,AN53,AO53,AP53)</f>
        <v>1.3147111197901063E-2</v>
      </c>
      <c r="AS53" s="34">
        <f>AVERAGE(AN53,AO53,AP53,AR53)</f>
        <v>1.3147238903334961E-2</v>
      </c>
      <c r="AT53" s="34">
        <f>AVERAGE(AO53,AP53,AR53,AS53)</f>
        <v>1.3147247683941257E-2</v>
      </c>
      <c r="AU53" s="34">
        <f>AVERAGE(AP53,AR53,AS53,AT53)</f>
        <v>1.3147192514315878E-2</v>
      </c>
      <c r="AV53" s="28"/>
    </row>
    <row r="54" spans="2:48" s="23" customFormat="1" outlineLevel="1" x14ac:dyDescent="0.3">
      <c r="B54" s="180" t="s">
        <v>258</v>
      </c>
      <c r="C54" s="201"/>
      <c r="D54" s="30">
        <f t="shared" ref="D54:L54" si="97">D7/(D7+D12)</f>
        <v>0.4648626817447496</v>
      </c>
      <c r="E54" s="30">
        <f t="shared" si="97"/>
        <v>0.23318112633181123</v>
      </c>
      <c r="F54" s="118">
        <f t="shared" si="97"/>
        <v>0.24465558194774345</v>
      </c>
      <c r="G54" s="118">
        <f t="shared" si="97"/>
        <v>0.24268502581755594</v>
      </c>
      <c r="H54" s="128">
        <f t="shared" si="97"/>
        <v>0.24268502581755594</v>
      </c>
      <c r="I54" s="118">
        <f t="shared" si="97"/>
        <v>0.25503355704697983</v>
      </c>
      <c r="J54" s="118">
        <f t="shared" si="97"/>
        <v>0.21017083829956296</v>
      </c>
      <c r="K54" s="118">
        <f t="shared" si="97"/>
        <v>0.50716964482682547</v>
      </c>
      <c r="L54" s="118">
        <f t="shared" si="97"/>
        <v>0.57705725425815724</v>
      </c>
      <c r="M54" s="28"/>
      <c r="N54" s="118">
        <f>N7/(N7+N12)</f>
        <v>0.55229831144465291</v>
      </c>
      <c r="O54" s="118">
        <f>O7/(O7+O12)</f>
        <v>0.30161844041196662</v>
      </c>
      <c r="P54" s="118">
        <f>P7/(P7+P12)</f>
        <v>0.34948805460750854</v>
      </c>
      <c r="Q54" s="118">
        <f>Q7/(Q7+Q12)</f>
        <v>0.3653976120747916</v>
      </c>
      <c r="R54" s="28"/>
      <c r="S54" s="118">
        <f>S7/(S7+S12)</f>
        <v>0.22583979328165377</v>
      </c>
      <c r="T54" s="118">
        <f>T7/(T7+T12)</f>
        <v>0.22327984770193088</v>
      </c>
      <c r="U54" s="118">
        <f>U7/(U7+U12)</f>
        <v>0.20817541959935032</v>
      </c>
      <c r="V54" s="34">
        <f>AVERAGE(Q54,S54,T54,U54)</f>
        <v>0.25567316816443164</v>
      </c>
      <c r="W54" s="28"/>
      <c r="X54" s="34">
        <f>AVERAGE(S54,T54,U54,V54)</f>
        <v>0.22824205718684165</v>
      </c>
      <c r="Y54" s="34">
        <f>AVERAGE(T54,U54,V54,X54)</f>
        <v>0.22884262316313861</v>
      </c>
      <c r="Z54" s="34">
        <f>AVERAGE(U54,V54,X54,Y54)</f>
        <v>0.23023331702844058</v>
      </c>
      <c r="AA54" s="34">
        <f>AVERAGE(V54,X54,Y54,Z54)</f>
        <v>0.23574779138571311</v>
      </c>
      <c r="AB54" s="28"/>
      <c r="AC54" s="34">
        <f>AVERAGE(X54,Y54,Z54,AA54)</f>
        <v>0.23076644719103351</v>
      </c>
      <c r="AD54" s="34">
        <f>AVERAGE(Y54,Z54,AA54,AC54)</f>
        <v>0.23139754469208146</v>
      </c>
      <c r="AE54" s="34">
        <f>AVERAGE(Z54,AA54,AC54,AD54)</f>
        <v>0.23203627507431718</v>
      </c>
      <c r="AF54" s="34">
        <f>AVERAGE(AA54,AC54,AD54,AE54)</f>
        <v>0.2324870145857863</v>
      </c>
      <c r="AG54" s="28"/>
      <c r="AH54" s="34">
        <f>AVERAGE(AC54,AD54,AE54,AF54)</f>
        <v>0.23167182038580458</v>
      </c>
      <c r="AI54" s="34">
        <f>AVERAGE(AD54,AE54,AF54,AH54)</f>
        <v>0.23189816368449739</v>
      </c>
      <c r="AJ54" s="34">
        <f>AVERAGE(AE54,AF54,AH54,AI54)</f>
        <v>0.23202331843260138</v>
      </c>
      <c r="AK54" s="34">
        <f>AVERAGE(AF54,AH54,AI54,AJ54)</f>
        <v>0.23202007927217241</v>
      </c>
      <c r="AL54" s="28"/>
      <c r="AM54" s="34">
        <f>AVERAGE(AH54,AI54,AJ54,AK54)</f>
        <v>0.23190334544376892</v>
      </c>
      <c r="AN54" s="34">
        <f>AVERAGE(AI54,AJ54,AK54,AM54)</f>
        <v>0.23196122670826003</v>
      </c>
      <c r="AO54" s="34">
        <f>AVERAGE(AJ54,AK54,AM54,AN54)</f>
        <v>0.23197699246420067</v>
      </c>
      <c r="AP54" s="34">
        <f>AVERAGE(AK54,AM54,AN54,AO54)</f>
        <v>0.23196541097210052</v>
      </c>
      <c r="AQ54" s="28"/>
      <c r="AR54" s="34">
        <f>AVERAGE(AM54,AN54,AO54,AP54)</f>
        <v>0.23195174389708254</v>
      </c>
      <c r="AS54" s="34">
        <f>AVERAGE(AN54,AO54,AP54,AR54)</f>
        <v>0.23196384351041094</v>
      </c>
      <c r="AT54" s="34">
        <f>AVERAGE(AO54,AP54,AR54,AS54)</f>
        <v>0.23196449771094868</v>
      </c>
      <c r="AU54" s="34">
        <f>AVERAGE(AP54,AR54,AS54,AT54)</f>
        <v>0.23196137402263567</v>
      </c>
      <c r="AV54" s="28"/>
    </row>
    <row r="55" spans="2:48" s="23" customFormat="1" outlineLevel="1" x14ac:dyDescent="0.3">
      <c r="B55" s="200" t="s">
        <v>259</v>
      </c>
      <c r="C55" s="201"/>
      <c r="D55" s="30">
        <f t="shared" ref="D55:L55" si="98">+D16/(D27+D33)</f>
        <v>7.7585075018799465E-2</v>
      </c>
      <c r="E55" s="30">
        <f t="shared" si="98"/>
        <v>0.12468259571674534</v>
      </c>
      <c r="F55" s="113">
        <f t="shared" si="98"/>
        <v>0.19119242713361023</v>
      </c>
      <c r="G55" s="113">
        <f t="shared" si="98"/>
        <v>0.22035590386103276</v>
      </c>
      <c r="H55" s="125">
        <f t="shared" si="98"/>
        <v>0.22035590386103276</v>
      </c>
      <c r="I55" s="281">
        <f t="shared" si="98"/>
        <v>0.20507171706404201</v>
      </c>
      <c r="J55" s="281">
        <f t="shared" si="98"/>
        <v>0.21050752296288999</v>
      </c>
      <c r="K55" s="113">
        <f t="shared" si="98"/>
        <v>0.2146584586535733</v>
      </c>
      <c r="L55" s="113">
        <f t="shared" si="98"/>
        <v>0.22220980757293607</v>
      </c>
      <c r="M55" s="282"/>
      <c r="N55" s="281">
        <f>+N16/(N27+N33)</f>
        <v>0.21164495979407008</v>
      </c>
      <c r="O55" s="281">
        <f>+O16/(O27+O33)</f>
        <v>0.21706605185058006</v>
      </c>
      <c r="P55" s="113">
        <f>+P16/(P27+P33)</f>
        <v>0.22796408734312845</v>
      </c>
      <c r="Q55" s="113">
        <f>+Q16/(Q27+Q33)</f>
        <v>0.23263143527192862</v>
      </c>
      <c r="R55" s="282"/>
      <c r="S55" s="281">
        <f>+S16/(S27+S33)</f>
        <v>0.21831564613072879</v>
      </c>
      <c r="T55" s="281">
        <f>+T16/(T27+T33)</f>
        <v>0.22164512770257855</v>
      </c>
      <c r="U55" s="281">
        <f>+U16/(U27+U33)</f>
        <v>0.21758667345241495</v>
      </c>
      <c r="V55" s="35">
        <f>AVERAGE(Q55,S55,T55,U55)</f>
        <v>0.22254472063941272</v>
      </c>
      <c r="W55" s="282"/>
      <c r="X55" s="283">
        <f>AVERAGE(S55,T55,U55,V55)</f>
        <v>0.22002304198128375</v>
      </c>
      <c r="Y55" s="283">
        <f>AVERAGE(T55,U55,V55,X55)</f>
        <v>0.22044989094392251</v>
      </c>
      <c r="Z55" s="35">
        <f>AVERAGE(U55,V55,X55,Y55)</f>
        <v>0.22015108175425849</v>
      </c>
      <c r="AA55" s="284">
        <f>AVERAGE(V55,X55,Y55,Z55)</f>
        <v>0.22079218382971935</v>
      </c>
      <c r="AB55" s="28"/>
      <c r="AC55" s="283">
        <f>AVERAGE(X55,Y55,Z55,AA55)</f>
        <v>0.22035404962729602</v>
      </c>
      <c r="AD55" s="283">
        <f>AVERAGE(Y55,Z55,AA55,AC55)</f>
        <v>0.22043680153879908</v>
      </c>
      <c r="AE55" s="35">
        <f>AVERAGE(Z55,AA55,AC55,AD55)</f>
        <v>0.22043352918751824</v>
      </c>
      <c r="AF55" s="284">
        <f>AVERAGE(AA55,AC55,AD55,AE55)</f>
        <v>0.22050414104583319</v>
      </c>
      <c r="AG55" s="28"/>
      <c r="AH55" s="283">
        <f>AVERAGE(AC55,AD55,AE55,AF55)</f>
        <v>0.22043213034986162</v>
      </c>
      <c r="AI55" s="283">
        <f>AVERAGE(AD55,AE55,AF55,AH55)</f>
        <v>0.22045165053050303</v>
      </c>
      <c r="AJ55" s="35">
        <f>AVERAGE(AE55,AF55,AH55,AI55)</f>
        <v>0.22045536277842903</v>
      </c>
      <c r="AK55" s="284">
        <f>AVERAGE(AF55,AH55,AI55,AJ55)</f>
        <v>0.2204608211761567</v>
      </c>
      <c r="AL55" s="28"/>
      <c r="AM55" s="283">
        <f>AVERAGE(AH55,AI55,AJ55,AK55)</f>
        <v>0.22044999120873759</v>
      </c>
      <c r="AN55" s="283">
        <f>AVERAGE(AI55,AJ55,AK55,AM55)</f>
        <v>0.22045445642345657</v>
      </c>
      <c r="AO55" s="35">
        <f>AVERAGE(AJ55,AK55,AM55,AN55)</f>
        <v>0.22045515789669495</v>
      </c>
      <c r="AP55" s="284">
        <f>AVERAGE(AK55,AM55,AN55,AO55)</f>
        <v>0.22045510667626145</v>
      </c>
      <c r="AQ55" s="28"/>
      <c r="AR55" s="283">
        <f>AVERAGE(AM55,AN55,AO55,AP55)</f>
        <v>0.22045367805128763</v>
      </c>
      <c r="AS55" s="283">
        <f>AVERAGE(AN55,AO55,AP55,AR55)</f>
        <v>0.22045459976192516</v>
      </c>
      <c r="AT55" s="35">
        <f>AVERAGE(AO55,AP55,AR55,AS55)</f>
        <v>0.2204546355965423</v>
      </c>
      <c r="AU55" s="284">
        <f>AVERAGE(AP55,AR55,AS55,AT55)</f>
        <v>0.22045450502150413</v>
      </c>
      <c r="AV55" s="28"/>
    </row>
    <row r="56" spans="2:48" outlineLevel="1" x14ac:dyDescent="0.3">
      <c r="B56" s="200" t="s">
        <v>260</v>
      </c>
      <c r="C56" s="201"/>
      <c r="D56" s="285"/>
      <c r="E56" s="285">
        <f>+'CFS (Base-Case)'!E7/((E14+D14)/2)</f>
        <v>6.122482504846076E-2</v>
      </c>
      <c r="F56" s="286">
        <f>+'CFS (Base-Case)'!F7/((F14+E14)/2)</f>
        <v>5.8442138063667992E-2</v>
      </c>
      <c r="G56" s="286">
        <f>+'CFS (Base-Case)'!G7/((G14+F14)/2)</f>
        <v>5.7957922263164152E-2</v>
      </c>
      <c r="H56" s="125">
        <f>+'CFS (Base-Case)'!H7/((H14+G14)/2)</f>
        <v>0.2253370026587061</v>
      </c>
      <c r="I56" s="287">
        <f>+'CFS (Base-Case)'!I7/((I14+G14)/2)</f>
        <v>5.75858250276855E-2</v>
      </c>
      <c r="J56" s="287">
        <f>+'CFS (Base-Case)'!J7/((J14+I14)/2)</f>
        <v>5.9117695395957084E-2</v>
      </c>
      <c r="K56" s="286">
        <f>+'CFS (Base-Case)'!K7/((K14+J14)/2)</f>
        <v>5.9467301657388859E-2</v>
      </c>
      <c r="L56" s="286">
        <f>+'CFS (Base-Case)'!L7/((L14+K14)/2)</f>
        <v>6.0492940894950963E-2</v>
      </c>
      <c r="M56" s="282"/>
      <c r="N56" s="287">
        <f>+'CFS (Base-Case)'!N7/((N14+L14)/2)</f>
        <v>6.2547808652661588E-2</v>
      </c>
      <c r="O56" s="287">
        <f>+'CFS (Base-Case)'!O7/((O14+N14)/2)</f>
        <v>6.251524266319812E-2</v>
      </c>
      <c r="P56" s="286">
        <f>+'CFS (Base-Case)'!P7/((P14+O14)/2)</f>
        <v>6.0825288199111989E-2</v>
      </c>
      <c r="Q56" s="286">
        <f>+'CFS (Base-Case)'!Q7/((Q14+P14)/2)</f>
        <v>6.0363072942040873E-2</v>
      </c>
      <c r="R56" s="282"/>
      <c r="S56" s="287">
        <f>+'CFS (Base-Case)'!S7/((S14+Q14)/2)</f>
        <v>6.052868611709418E-2</v>
      </c>
      <c r="T56" s="287">
        <f>+'CFS (Base-Case)'!T7/((T14+S14)/2)</f>
        <v>6.0861044576476821E-2</v>
      </c>
      <c r="U56" s="287">
        <f>+'CFS (Base-Case)'!U7/((U14+T14)/2)</f>
        <v>6.0812805967829661E-2</v>
      </c>
      <c r="V56" s="288">
        <f>AVERAGE(Q56,S56,T56,U56)</f>
        <v>6.0641402400860384E-2</v>
      </c>
      <c r="W56" s="282"/>
      <c r="X56" s="289">
        <f>AVERAGE(S56,T56,U56,V56)</f>
        <v>6.0710984765565267E-2</v>
      </c>
      <c r="Y56" s="289">
        <f>AVERAGE(T56,U56,V56,X56)</f>
        <v>6.0756559427683036E-2</v>
      </c>
      <c r="Z56" s="288">
        <f>AVERAGE(U56,V56,X56,Y56)</f>
        <v>6.0730438140484587E-2</v>
      </c>
      <c r="AA56" s="288">
        <f>AVERAGE(V56,X56,Y56,Z56)</f>
        <v>6.0709846183648324E-2</v>
      </c>
      <c r="AB56" s="290"/>
      <c r="AC56" s="289">
        <f>AVERAGE(X56,Y56,Z56,AA56)</f>
        <v>6.0726957129345303E-2</v>
      </c>
      <c r="AD56" s="289">
        <f>AVERAGE(Y56,Z56,AA56,AC56)</f>
        <v>6.0730950220290313E-2</v>
      </c>
      <c r="AE56" s="288">
        <f>AVERAGE(Z56,AA56,AC56,AD56)</f>
        <v>6.0724547918442132E-2</v>
      </c>
      <c r="AF56" s="288">
        <f>AVERAGE(AA56,AC56,AD56,AE56)</f>
        <v>6.072307536293152E-2</v>
      </c>
      <c r="AG56" s="290"/>
      <c r="AH56" s="289">
        <f>AVERAGE(AC56,AD56,AE56,AF56)</f>
        <v>6.072638265775232E-2</v>
      </c>
      <c r="AI56" s="289">
        <f>AVERAGE(AD56,AE56,AF56,AH56)</f>
        <v>6.0726239039854066E-2</v>
      </c>
      <c r="AJ56" s="288">
        <f>AVERAGE(AE56,AF56,AH56,AI56)</f>
        <v>6.0725061244745013E-2</v>
      </c>
      <c r="AK56" s="288">
        <f>AVERAGE(AF56,AH56,AI56,AJ56)</f>
        <v>6.0725189576320726E-2</v>
      </c>
      <c r="AL56" s="290"/>
      <c r="AM56" s="289">
        <f>AVERAGE(AH56,AI56,AJ56,AK56)</f>
        <v>6.0725718129668031E-2</v>
      </c>
      <c r="AN56" s="289">
        <f>AVERAGE(AI56,AJ56,AK56,AM56)</f>
        <v>6.0725551997646961E-2</v>
      </c>
      <c r="AO56" s="288">
        <f>AVERAGE(AJ56,AK56,AM56,AN56)</f>
        <v>6.0725380237095179E-2</v>
      </c>
      <c r="AP56" s="288">
        <f>AVERAGE(AK56,AM56,AN56,AO56)</f>
        <v>6.0725459985182723E-2</v>
      </c>
      <c r="AQ56" s="290"/>
      <c r="AR56" s="289">
        <f>AVERAGE(AM56,AN56,AO56,AP56)</f>
        <v>6.0725527587398222E-2</v>
      </c>
      <c r="AS56" s="289">
        <f>AVERAGE(AN56,AO56,AP56,AR56)</f>
        <v>6.0725479951830773E-2</v>
      </c>
      <c r="AT56" s="288">
        <f>AVERAGE(AO56,AP56,AR56,AS56)</f>
        <v>6.0725461940376722E-2</v>
      </c>
      <c r="AU56" s="288">
        <f>AVERAGE(AP56,AR56,AS56,AT56)</f>
        <v>6.0725482366197112E-2</v>
      </c>
      <c r="AV56" s="290"/>
    </row>
    <row r="57" spans="2:48" outlineLevel="1" x14ac:dyDescent="0.3">
      <c r="B57" s="200"/>
      <c r="C57" s="201"/>
      <c r="D57" s="285"/>
      <c r="E57" s="285"/>
      <c r="F57" s="286"/>
      <c r="G57" s="286"/>
      <c r="H57" s="125"/>
      <c r="I57" s="287"/>
      <c r="J57" s="287"/>
      <c r="K57" s="286"/>
      <c r="L57" s="286"/>
      <c r="M57" s="282"/>
      <c r="N57" s="287"/>
      <c r="O57" s="287"/>
      <c r="P57" s="286"/>
      <c r="Q57" s="286"/>
      <c r="R57" s="282"/>
      <c r="S57" s="287"/>
      <c r="T57" s="287"/>
      <c r="U57" s="287"/>
      <c r="V57" s="288"/>
      <c r="W57" s="282"/>
      <c r="X57" s="289"/>
      <c r="Y57" s="289"/>
      <c r="Z57" s="288"/>
      <c r="AA57" s="288"/>
      <c r="AB57" s="290"/>
      <c r="AC57" s="289"/>
      <c r="AD57" s="289"/>
      <c r="AE57" s="288"/>
      <c r="AF57" s="288"/>
      <c r="AG57" s="290"/>
      <c r="AH57" s="289"/>
      <c r="AI57" s="289"/>
      <c r="AJ57" s="288"/>
      <c r="AK57" s="288"/>
      <c r="AL57" s="290"/>
      <c r="AM57" s="289"/>
      <c r="AN57" s="289"/>
      <c r="AO57" s="288"/>
      <c r="AP57" s="288"/>
      <c r="AQ57" s="290"/>
      <c r="AR57" s="289"/>
      <c r="AS57" s="289"/>
      <c r="AT57" s="288"/>
      <c r="AU57" s="288"/>
      <c r="AV57" s="290"/>
    </row>
    <row r="58" spans="2:48" s="296" customFormat="1" outlineLevel="1" x14ac:dyDescent="0.3">
      <c r="B58" s="291" t="s">
        <v>261</v>
      </c>
      <c r="C58" s="249"/>
      <c r="D58" s="292"/>
      <c r="E58" s="292"/>
      <c r="F58" s="293"/>
      <c r="G58" s="293"/>
      <c r="H58" s="294"/>
      <c r="I58" s="292"/>
      <c r="J58" s="292"/>
      <c r="K58" s="293"/>
      <c r="L58" s="293"/>
      <c r="M58" s="294"/>
      <c r="N58" s="292"/>
      <c r="O58" s="292"/>
      <c r="P58" s="293"/>
      <c r="Q58" s="293"/>
      <c r="R58" s="294"/>
      <c r="S58" s="292"/>
      <c r="T58" s="292"/>
      <c r="U58" s="292"/>
      <c r="V58" s="293"/>
      <c r="W58" s="294"/>
      <c r="X58" s="292"/>
      <c r="Y58" s="292"/>
      <c r="Z58" s="293"/>
      <c r="AA58" s="293"/>
      <c r="AB58" s="295"/>
      <c r="AC58" s="292"/>
      <c r="AD58" s="292"/>
      <c r="AE58" s="293"/>
      <c r="AF58" s="293"/>
      <c r="AG58" s="295"/>
      <c r="AH58" s="292"/>
      <c r="AI58" s="292"/>
      <c r="AJ58" s="293"/>
      <c r="AK58" s="293"/>
      <c r="AL58" s="295"/>
      <c r="AM58" s="292"/>
      <c r="AN58" s="292"/>
      <c r="AO58" s="293"/>
      <c r="AP58" s="293"/>
      <c r="AQ58" s="295"/>
      <c r="AR58" s="292"/>
      <c r="AS58" s="292"/>
      <c r="AT58" s="293"/>
      <c r="AU58" s="293"/>
      <c r="AV58" s="295"/>
    </row>
    <row r="59" spans="2:48" s="302" customFormat="1" outlineLevel="1" x14ac:dyDescent="0.3">
      <c r="B59" s="200" t="s">
        <v>262</v>
      </c>
      <c r="C59" s="297"/>
      <c r="D59" s="298"/>
      <c r="E59" s="298"/>
      <c r="F59" s="146"/>
      <c r="G59" s="146"/>
      <c r="H59" s="122"/>
      <c r="I59" s="299"/>
      <c r="J59" s="299"/>
      <c r="K59" s="146"/>
      <c r="L59" s="146"/>
      <c r="M59" s="26"/>
      <c r="N59" s="299"/>
      <c r="O59" s="299"/>
      <c r="P59" s="146"/>
      <c r="Q59" s="146"/>
      <c r="R59" s="26"/>
      <c r="S59" s="299"/>
      <c r="T59" s="299"/>
      <c r="U59" s="299"/>
      <c r="V59" s="300">
        <v>199</v>
      </c>
      <c r="W59" s="26"/>
      <c r="X59" s="301">
        <v>0</v>
      </c>
      <c r="Y59" s="301">
        <v>1000</v>
      </c>
      <c r="Z59" s="300">
        <v>0</v>
      </c>
      <c r="AA59" s="300">
        <v>0</v>
      </c>
      <c r="AB59" s="6"/>
      <c r="AC59" s="301">
        <v>750</v>
      </c>
      <c r="AD59" s="301">
        <f>500+626.3</f>
        <v>1126.3</v>
      </c>
      <c r="AE59" s="300">
        <v>0</v>
      </c>
      <c r="AF59" s="300">
        <v>0</v>
      </c>
      <c r="AG59" s="6"/>
      <c r="AH59" s="301">
        <v>0</v>
      </c>
      <c r="AI59" s="301">
        <v>0</v>
      </c>
      <c r="AJ59" s="300">
        <v>0</v>
      </c>
      <c r="AK59" s="300">
        <v>1250</v>
      </c>
      <c r="AL59" s="6"/>
      <c r="AM59" s="301">
        <v>0</v>
      </c>
      <c r="AN59" s="301">
        <v>0</v>
      </c>
      <c r="AO59" s="300">
        <v>500</v>
      </c>
      <c r="AP59" s="300">
        <v>0</v>
      </c>
      <c r="AQ59" s="6"/>
      <c r="AR59" s="301">
        <v>0</v>
      </c>
      <c r="AS59" s="301">
        <v>500</v>
      </c>
      <c r="AT59" s="300">
        <v>0</v>
      </c>
      <c r="AU59" s="300">
        <v>0</v>
      </c>
      <c r="AV59" s="6"/>
    </row>
    <row r="60" spans="2:48" s="302" customFormat="1" outlineLevel="1" x14ac:dyDescent="0.3">
      <c r="B60" s="200" t="s">
        <v>263</v>
      </c>
      <c r="C60" s="297"/>
      <c r="D60" s="298"/>
      <c r="E60" s="298"/>
      <c r="F60" s="146"/>
      <c r="G60" s="146"/>
      <c r="H60" s="122"/>
      <c r="I60" s="299"/>
      <c r="J60" s="299"/>
      <c r="K60" s="146"/>
      <c r="L60" s="146"/>
      <c r="M60" s="26"/>
      <c r="N60" s="299"/>
      <c r="O60" s="299"/>
      <c r="P60" s="146"/>
      <c r="Q60" s="146"/>
      <c r="R60" s="26"/>
      <c r="S60" s="299"/>
      <c r="T60" s="299"/>
      <c r="U60" s="299"/>
      <c r="V60" s="300">
        <f>Z59</f>
        <v>0</v>
      </c>
      <c r="W60" s="26"/>
      <c r="X60" s="300">
        <f>AA59</f>
        <v>0</v>
      </c>
      <c r="Y60" s="300">
        <f>AC59</f>
        <v>750</v>
      </c>
      <c r="Z60" s="300">
        <f>AD59</f>
        <v>1126.3</v>
      </c>
      <c r="AA60" s="300">
        <f>AE59</f>
        <v>0</v>
      </c>
      <c r="AB60" s="6"/>
      <c r="AC60" s="300">
        <f>AF59</f>
        <v>0</v>
      </c>
      <c r="AD60" s="300">
        <f>AH59</f>
        <v>0</v>
      </c>
      <c r="AE60" s="300">
        <f>AI59</f>
        <v>0</v>
      </c>
      <c r="AF60" s="300">
        <f>AJ59</f>
        <v>0</v>
      </c>
      <c r="AG60" s="6"/>
      <c r="AH60" s="300">
        <f>AK59</f>
        <v>1250</v>
      </c>
      <c r="AI60" s="300">
        <f>AM59</f>
        <v>0</v>
      </c>
      <c r="AJ60" s="300">
        <f>AN59</f>
        <v>0</v>
      </c>
      <c r="AK60" s="300">
        <f>AO59</f>
        <v>500</v>
      </c>
      <c r="AL60" s="6"/>
      <c r="AM60" s="300">
        <f>AP59</f>
        <v>0</v>
      </c>
      <c r="AN60" s="300">
        <f>AR59</f>
        <v>0</v>
      </c>
      <c r="AO60" s="300">
        <f>AS59</f>
        <v>500</v>
      </c>
      <c r="AP60" s="300">
        <f>AT59</f>
        <v>0</v>
      </c>
      <c r="AQ60" s="6"/>
      <c r="AR60" s="300">
        <f>AU60</f>
        <v>0</v>
      </c>
      <c r="AS60" s="300">
        <f t="shared" ref="AS60:AU60" si="99">AW60</f>
        <v>0</v>
      </c>
      <c r="AT60" s="300">
        <f t="shared" si="99"/>
        <v>0</v>
      </c>
      <c r="AU60" s="300">
        <f t="shared" si="99"/>
        <v>0</v>
      </c>
      <c r="AV60" s="6"/>
    </row>
    <row r="61" spans="2:48" s="302" customFormat="1" outlineLevel="1" x14ac:dyDescent="0.3">
      <c r="B61" s="200" t="s">
        <v>264</v>
      </c>
      <c r="C61" s="297"/>
      <c r="D61" s="298"/>
      <c r="E61" s="298"/>
      <c r="F61" s="146"/>
      <c r="G61" s="146"/>
      <c r="H61" s="122"/>
      <c r="I61" s="299"/>
      <c r="J61" s="299"/>
      <c r="K61" s="146"/>
      <c r="L61" s="146"/>
      <c r="M61" s="26"/>
      <c r="N61" s="299"/>
      <c r="O61" s="299"/>
      <c r="P61" s="146"/>
      <c r="Q61" s="146"/>
      <c r="R61" s="26"/>
      <c r="S61" s="299"/>
      <c r="T61" s="299"/>
      <c r="U61" s="299"/>
      <c r="V61" s="300">
        <v>0</v>
      </c>
      <c r="W61" s="26"/>
      <c r="X61" s="301">
        <v>0</v>
      </c>
      <c r="Y61" s="301">
        <v>1000</v>
      </c>
      <c r="Z61" s="300">
        <v>0</v>
      </c>
      <c r="AA61" s="300">
        <v>0</v>
      </c>
      <c r="AB61" s="6"/>
      <c r="AC61" s="301">
        <v>750</v>
      </c>
      <c r="AD61" s="301">
        <v>1126</v>
      </c>
      <c r="AE61" s="300">
        <v>0</v>
      </c>
      <c r="AF61" s="300">
        <f>0.5*(SUM('IS (Base-Case)'!AC154:AF154))</f>
        <v>100</v>
      </c>
      <c r="AG61" s="6"/>
      <c r="AH61" s="301"/>
      <c r="AI61" s="301"/>
      <c r="AJ61" s="300">
        <f>0.5*(SUM('IS (Base-Case)'!AH154:AK154))</f>
        <v>5291</v>
      </c>
      <c r="AK61" s="300">
        <v>1250</v>
      </c>
      <c r="AL61" s="6"/>
      <c r="AM61" s="301">
        <v>0</v>
      </c>
      <c r="AN61" s="301">
        <v>0</v>
      </c>
      <c r="AO61" s="300">
        <v>500</v>
      </c>
      <c r="AP61" s="300">
        <v>0</v>
      </c>
      <c r="AQ61" s="6"/>
      <c r="AR61" s="301">
        <v>0</v>
      </c>
      <c r="AS61" s="301">
        <v>500</v>
      </c>
      <c r="AT61" s="300">
        <v>0</v>
      </c>
      <c r="AU61" s="300">
        <v>0</v>
      </c>
      <c r="AV61" s="6"/>
    </row>
    <row r="62" spans="2:48" s="23" customFormat="1" outlineLevel="1" x14ac:dyDescent="0.3">
      <c r="B62" s="200" t="s">
        <v>265</v>
      </c>
      <c r="C62" s="201"/>
      <c r="D62" s="179">
        <f>+(D28+D31)/D41</f>
        <v>-3.1717034875642636</v>
      </c>
      <c r="E62" s="179">
        <f>+(E28+E31)/E41</f>
        <v>-1.8304138862408643</v>
      </c>
      <c r="F62" s="303">
        <f>+(F28+F31)/F41</f>
        <v>-2.5837230840472332</v>
      </c>
      <c r="G62" s="303">
        <f>+(G28+G31)/G41</f>
        <v>-1.7921681913015568</v>
      </c>
      <c r="H62" s="128"/>
      <c r="I62" s="303">
        <f>+(I28+I31)/I41</f>
        <v>-1.7235726649997785</v>
      </c>
      <c r="J62" s="303">
        <f>+(J28+J31)/J41</f>
        <v>-1.8605318005017988</v>
      </c>
      <c r="K62" s="303">
        <f>+(K28+K31)/K41</f>
        <v>-1.9516598448569742</v>
      </c>
      <c r="L62" s="179">
        <f>+(L28+L31)/L41</f>
        <v>-2.0960971356771032</v>
      </c>
      <c r="M62" s="28"/>
      <c r="N62" s="179">
        <f>+(N28+N31)/N41</f>
        <v>-2.0136766194331983</v>
      </c>
      <c r="O62" s="179">
        <f>+(O28+O31)/O41</f>
        <v>-1.9152752899337104</v>
      </c>
      <c r="P62" s="179">
        <f>+(P28+P31)/P41</f>
        <v>-2.1515240716482933</v>
      </c>
      <c r="Q62" s="179">
        <f>+(Q28+Q31)/Q41</f>
        <v>-2.7501740521215541</v>
      </c>
      <c r="R62" s="28"/>
      <c r="S62" s="179">
        <f t="shared" ref="S62:AA62" si="100">+(S28+S31)/S41</f>
        <v>-1.7497130279398361</v>
      </c>
      <c r="T62" s="179">
        <f t="shared" si="100"/>
        <v>-1.8277176642469066</v>
      </c>
      <c r="U62" s="179">
        <f t="shared" si="100"/>
        <v>-1.7473235630391852</v>
      </c>
      <c r="V62" s="179">
        <f t="shared" si="100"/>
        <v>-1.7742139209382464</v>
      </c>
      <c r="W62" s="28">
        <f t="shared" si="100"/>
        <v>-1.7742139209382464</v>
      </c>
      <c r="X62" s="179">
        <f t="shared" si="100"/>
        <v>-1.8367932095831883</v>
      </c>
      <c r="Y62" s="179">
        <f t="shared" si="100"/>
        <v>-1.8964761972124962</v>
      </c>
      <c r="Z62" s="179">
        <f t="shared" si="100"/>
        <v>-2.0223795405290299</v>
      </c>
      <c r="AA62" s="179">
        <f t="shared" si="100"/>
        <v>-2.179230948690738</v>
      </c>
      <c r="AB62" s="28"/>
      <c r="AC62" s="179">
        <f>+(AC28+AC31)/AC41</f>
        <v>-2.3862999073578428</v>
      </c>
      <c r="AD62" s="179">
        <f>+(AD28+AD31)/AD41</f>
        <v>-2.5459234117428156</v>
      </c>
      <c r="AE62" s="179">
        <f>+(AE28+AE31)/AE41</f>
        <v>-2.7960250496436827</v>
      </c>
      <c r="AF62" s="179">
        <f>+(AF28+AF31)/AF41</f>
        <v>-3.0939610523505015</v>
      </c>
      <c r="AG62" s="28"/>
      <c r="AH62" s="179">
        <f>+(AH28+AH31)/AH41</f>
        <v>-3.5850136046613872</v>
      </c>
      <c r="AI62" s="179">
        <f>+(AI28+AI31)/AI41</f>
        <v>-4.0090181974628498</v>
      </c>
      <c r="AJ62" s="179">
        <f>+(AJ28+AJ31)/AJ41</f>
        <v>-2.5148996958749987</v>
      </c>
      <c r="AK62" s="179">
        <f>+(AK28+AK31)/AK41</f>
        <v>-1.621157508762298</v>
      </c>
      <c r="AL62" s="28"/>
      <c r="AM62" s="179">
        <f>+(AM28+AM31)/AM41</f>
        <v>-1.7017195015553528</v>
      </c>
      <c r="AN62" s="179">
        <f>+(AN28+AN31)/AN41</f>
        <v>-1.7517802866315195</v>
      </c>
      <c r="AO62" s="179">
        <f>+(AO28+AO31)/AO41</f>
        <v>-1.8635273453895389</v>
      </c>
      <c r="AP62" s="179">
        <f>+(AP28+AP31)/AP41</f>
        <v>-1.9759940246948171</v>
      </c>
      <c r="AQ62" s="28"/>
      <c r="AR62" s="179">
        <f>+(AR28+AR31)/AR41</f>
        <v>-2.1252594085302166</v>
      </c>
      <c r="AS62" s="179">
        <f>+(AS28+AS31)/AS41</f>
        <v>-2.2314849583067358</v>
      </c>
      <c r="AT62" s="179">
        <f>+(AT28+AT31)/AT41</f>
        <v>-2.4479487945513423</v>
      </c>
      <c r="AU62" s="179">
        <f>+(AU28+AU31)/AU41</f>
        <v>-2.6811964018128709</v>
      </c>
      <c r="AV62" s="28"/>
    </row>
    <row r="63" spans="2:48" s="23" customFormat="1" outlineLevel="1" x14ac:dyDescent="0.3">
      <c r="B63" s="200" t="s">
        <v>266</v>
      </c>
      <c r="C63" s="201"/>
      <c r="D63" s="179">
        <f>+D28/(D28+D31)</f>
        <v>0</v>
      </c>
      <c r="E63" s="179">
        <f>+E28/(E28+E31)</f>
        <v>8.1375793413985785E-3</v>
      </c>
      <c r="F63" s="303">
        <f>+F28/(F28+F31)</f>
        <v>0</v>
      </c>
      <c r="G63" s="303">
        <f>+G28/(G28+G31)</f>
        <v>0</v>
      </c>
      <c r="H63" s="128"/>
      <c r="I63" s="303">
        <f>+I28/(I28+I31)</f>
        <v>8.5546532987690757E-2</v>
      </c>
      <c r="J63" s="303">
        <f>+J28/(J28+J31)</f>
        <v>0.16813887778982817</v>
      </c>
      <c r="K63" s="303">
        <f>+K28/(K28+K31)</f>
        <v>0.12987992894360045</v>
      </c>
      <c r="L63" s="179">
        <f>+L28/(L28+L31)</f>
        <v>0.10329514383758555</v>
      </c>
      <c r="M63" s="28"/>
      <c r="N63" s="179">
        <f>+N28/(N28+N31)</f>
        <v>7.8071889470410452E-2</v>
      </c>
      <c r="O63" s="179">
        <f>+O28/(O28+O31)</f>
        <v>1.2492661414742708E-3</v>
      </c>
      <c r="P63" s="179">
        <f>+P28/(P28+P31)</f>
        <v>6.8333093904132544E-2</v>
      </c>
      <c r="Q63" s="179">
        <f>+Q28/(Q28+Q31)</f>
        <v>6.8343847069609609E-2</v>
      </c>
      <c r="R63" s="28"/>
      <c r="S63" s="179">
        <f t="shared" ref="S63:AA63" si="101">+S28/(S28+S31)</f>
        <v>8.1112704252786494E-2</v>
      </c>
      <c r="T63" s="179">
        <f t="shared" si="101"/>
        <v>0.12481109098857178</v>
      </c>
      <c r="U63" s="179">
        <f t="shared" si="101"/>
        <v>7.9253663276029576E-2</v>
      </c>
      <c r="V63" s="179">
        <f t="shared" si="101"/>
        <v>6.6981896603687655E-2</v>
      </c>
      <c r="W63" s="28">
        <f t="shared" si="101"/>
        <v>6.6981896603687655E-2</v>
      </c>
      <c r="X63" s="179">
        <f t="shared" si="101"/>
        <v>6.6981896603687655E-2</v>
      </c>
      <c r="Y63" s="179">
        <f t="shared" si="101"/>
        <v>5.0238096832742829E-2</v>
      </c>
      <c r="Z63" s="179">
        <f t="shared" si="101"/>
        <v>0.12567226356080344</v>
      </c>
      <c r="AA63" s="179">
        <f t="shared" si="101"/>
        <v>0.12567226356080344</v>
      </c>
      <c r="AB63" s="28"/>
      <c r="AC63" s="179">
        <f>+AC28/(AC28+AC31)</f>
        <v>7.5440864247968975E-2</v>
      </c>
      <c r="AD63" s="179">
        <f>+AD28/(AD28+AD31)</f>
        <v>6.6976544813945215E-6</v>
      </c>
      <c r="AE63" s="179">
        <f>+AE28/(AE28+AE31)</f>
        <v>6.6976544813945215E-6</v>
      </c>
      <c r="AF63" s="179">
        <f>+AF28/(AF28+AF31)</f>
        <v>6.6530943541780797E-6</v>
      </c>
      <c r="AG63" s="28"/>
      <c r="AH63" s="179">
        <f>+AH28/(AH28+AH31)</f>
        <v>8.3170332521655815E-2</v>
      </c>
      <c r="AI63" s="179">
        <f>+AI28/(AI28+AI31)</f>
        <v>8.3170332521655815E-2</v>
      </c>
      <c r="AJ63" s="179">
        <f>+AJ28/(AJ28+AJ31)</f>
        <v>6.151582552554917E-2</v>
      </c>
      <c r="AK63" s="179">
        <f>+AK28/(AK28+AK31)</f>
        <v>2.4609282733643018E-2</v>
      </c>
      <c r="AL63" s="28"/>
      <c r="AM63" s="179">
        <f>+AM28/(AM28+AM31)</f>
        <v>2.4609282733643018E-2</v>
      </c>
      <c r="AN63" s="179">
        <f>+AN28/(AN28+AN31)</f>
        <v>2.4609282733643018E-2</v>
      </c>
      <c r="AO63" s="179">
        <f>+AO28/(AO28+AO31)</f>
        <v>2.4609282733643018E-2</v>
      </c>
      <c r="AP63" s="179">
        <f>+AP28/(AP28+AP31)</f>
        <v>2.4609282733643018E-2</v>
      </c>
      <c r="AQ63" s="28"/>
      <c r="AR63" s="179">
        <f>+AR28/(AR28+AR31)</f>
        <v>2.4609282733643018E-2</v>
      </c>
      <c r="AS63" s="179">
        <f>+AS28/(AS28+AS31)</f>
        <v>4.9208723722496781E-6</v>
      </c>
      <c r="AT63" s="179">
        <f>+AT28/(AT28+AT31)</f>
        <v>4.9208723722496781E-6</v>
      </c>
      <c r="AU63" s="179">
        <f>+AU28/(AU28+AU31)</f>
        <v>4.9208723722496781E-6</v>
      </c>
      <c r="AV63" s="28"/>
    </row>
    <row r="64" spans="2:48" outlineLevel="1" x14ac:dyDescent="0.3">
      <c r="B64" s="200" t="s">
        <v>329</v>
      </c>
      <c r="C64" s="201"/>
      <c r="D64" s="304"/>
      <c r="E64" s="304"/>
      <c r="F64" s="304"/>
      <c r="G64" s="304"/>
      <c r="H64" s="306"/>
      <c r="I64" s="305"/>
      <c r="J64" s="305"/>
      <c r="K64" s="305"/>
      <c r="L64" s="305"/>
      <c r="M64" s="306">
        <f>M67/(M65-M66)</f>
        <v>14.55407378391847</v>
      </c>
      <c r="N64" s="305"/>
      <c r="O64" s="305"/>
      <c r="P64" s="305"/>
      <c r="Q64" s="305"/>
      <c r="R64" s="306">
        <f>R67/(R65-R66)</f>
        <v>3.5268936560411204</v>
      </c>
      <c r="S64" s="305"/>
      <c r="T64" s="305"/>
      <c r="U64" s="305"/>
      <c r="V64" s="305"/>
      <c r="W64" s="306">
        <f>W67/(W65-W66)</f>
        <v>4.1761593231356127</v>
      </c>
      <c r="X64" s="307"/>
      <c r="Y64" s="307"/>
      <c r="Z64" s="307"/>
      <c r="AA64" s="307"/>
      <c r="AB64" s="306">
        <f>AB67/(AB65-AB66)</f>
        <v>3.4824851132898802</v>
      </c>
      <c r="AC64" s="307"/>
      <c r="AD64" s="307"/>
      <c r="AE64" s="307"/>
      <c r="AF64" s="307"/>
      <c r="AG64" s="405">
        <f>AG67/(AG65-AG66)</f>
        <v>2.9151652662738683</v>
      </c>
      <c r="AH64" s="307"/>
      <c r="AI64" s="307"/>
      <c r="AJ64" s="307"/>
      <c r="AK64" s="307"/>
      <c r="AL64" s="405">
        <f>AL67/(AL65-AL66)</f>
        <v>3.2286524502209701</v>
      </c>
      <c r="AM64" s="307"/>
      <c r="AN64" s="307"/>
      <c r="AO64" s="307"/>
      <c r="AP64" s="307"/>
      <c r="AQ64" s="306">
        <f>AQ67/(AQ65-AQ66)</f>
        <v>2.8764420407318561</v>
      </c>
      <c r="AR64" s="307"/>
      <c r="AS64" s="307"/>
      <c r="AT64" s="307"/>
      <c r="AU64" s="307"/>
      <c r="AV64" s="306">
        <f>AV67/(AV65-AV66)</f>
        <v>2.6847326237174154</v>
      </c>
    </row>
    <row r="65" spans="2:48" outlineLevel="1" x14ac:dyDescent="0.3">
      <c r="B65" s="180" t="s">
        <v>326</v>
      </c>
      <c r="C65" s="44"/>
      <c r="D65" s="139"/>
      <c r="E65" s="139"/>
      <c r="F65" s="309"/>
      <c r="G65" s="309"/>
      <c r="H65" s="17"/>
      <c r="I65" s="139"/>
      <c r="J65" s="139"/>
      <c r="K65" s="309"/>
      <c r="L65" s="309"/>
      <c r="M65" s="17">
        <f>'IS (Base-Case)'!M19+'IS (Base-Case)'!M12</f>
        <v>3564.3800000000042</v>
      </c>
      <c r="N65" s="139"/>
      <c r="O65" s="139"/>
      <c r="P65" s="309"/>
      <c r="Q65" s="309"/>
      <c r="R65" s="17">
        <f>'IS (Base-Case)'!R19+'IS (Base-Case)'!R12</f>
        <v>6703.7999999999975</v>
      </c>
      <c r="S65" s="139"/>
      <c r="T65" s="139"/>
      <c r="U65" s="309"/>
      <c r="V65" s="309"/>
      <c r="W65" s="17">
        <f>'IS (Base-Case)'!W19+'IS (Base-Case)'!W12</f>
        <v>6262.9556840670375</v>
      </c>
      <c r="X65" s="139"/>
      <c r="Y65" s="305"/>
      <c r="Z65" s="305"/>
      <c r="AA65" s="310"/>
      <c r="AB65" s="17">
        <f>'IS (Base-Case)'!AB19+'IS (Base-Case)'!AB12</f>
        <v>7109.496048472336</v>
      </c>
      <c r="AC65" s="139"/>
      <c r="AD65" s="139"/>
      <c r="AE65" s="309"/>
      <c r="AF65" s="309"/>
      <c r="AG65" s="17">
        <f>'IS (Base-Case)'!AG19+'IS (Base-Case)'!AG12</f>
        <v>8119.1754180385251</v>
      </c>
      <c r="AH65" s="139"/>
      <c r="AI65" s="139"/>
      <c r="AJ65" s="309"/>
      <c r="AK65" s="309"/>
      <c r="AL65" s="17">
        <f>'IS (Base-Case)'!AL19+'IS (Base-Case)'!AL12</f>
        <v>9405.4742802975798</v>
      </c>
      <c r="AM65" s="139"/>
      <c r="AN65" s="139"/>
      <c r="AO65" s="309"/>
      <c r="AP65" s="309"/>
      <c r="AQ65" s="17">
        <f>'IS (Base-Case)'!AQ19+'IS (Base-Case)'!AQ12</f>
        <v>10331.736946610616</v>
      </c>
      <c r="AR65" s="139"/>
      <c r="AS65" s="139"/>
      <c r="AT65" s="309"/>
      <c r="AU65" s="309"/>
      <c r="AV65" s="17">
        <f>'IS (Base-Case)'!AV19+'IS (Base-Case)'!AV12</f>
        <v>10999.562683415485</v>
      </c>
    </row>
    <row r="66" spans="2:48" outlineLevel="1" x14ac:dyDescent="0.3">
      <c r="B66" s="180" t="s">
        <v>328</v>
      </c>
      <c r="C66" s="44"/>
      <c r="D66" s="139"/>
      <c r="E66" s="139"/>
      <c r="F66" s="309"/>
      <c r="G66" s="309"/>
      <c r="H66" s="387"/>
      <c r="I66" s="139"/>
      <c r="J66" s="139"/>
      <c r="K66" s="309"/>
      <c r="L66" s="309"/>
      <c r="M66" s="387">
        <v>2441.1</v>
      </c>
      <c r="N66" s="139"/>
      <c r="O66" s="139"/>
      <c r="P66" s="309"/>
      <c r="Q66" s="309"/>
      <c r="R66" s="387">
        <v>2559.6999999999998</v>
      </c>
      <c r="S66" s="139"/>
      <c r="T66" s="139"/>
      <c r="U66" s="309"/>
      <c r="V66" s="309"/>
      <c r="W66" s="388">
        <f>R66*1.05</f>
        <v>2687.6849999999999</v>
      </c>
      <c r="X66" s="139"/>
      <c r="Y66" s="179"/>
      <c r="Z66" s="179"/>
      <c r="AA66" s="310"/>
      <c r="AB66" s="388">
        <f>W66*1.05</f>
        <v>2822.06925</v>
      </c>
      <c r="AC66" s="139"/>
      <c r="AD66" s="139"/>
      <c r="AE66" s="309"/>
      <c r="AF66" s="309"/>
      <c r="AG66" s="388">
        <f>AB66*1.05</f>
        <v>2963.1727125000002</v>
      </c>
      <c r="AH66" s="139"/>
      <c r="AI66" s="139"/>
      <c r="AJ66" s="309"/>
      <c r="AK66" s="309"/>
      <c r="AL66" s="388">
        <f>AG66*1.05</f>
        <v>3111.3313481250002</v>
      </c>
      <c r="AM66" s="139"/>
      <c r="AN66" s="139"/>
      <c r="AO66" s="309"/>
      <c r="AP66" s="309"/>
      <c r="AQ66" s="388">
        <f>AL66*1.05</f>
        <v>3266.8979155312504</v>
      </c>
      <c r="AR66" s="139"/>
      <c r="AS66" s="139"/>
      <c r="AT66" s="309"/>
      <c r="AU66" s="309"/>
      <c r="AV66" s="388">
        <f>AQ66*1.05</f>
        <v>3430.2428113078131</v>
      </c>
    </row>
    <row r="67" spans="2:48" outlineLevel="1" x14ac:dyDescent="0.3">
      <c r="B67" s="386" t="s">
        <v>327</v>
      </c>
      <c r="C67" s="312"/>
      <c r="D67" s="313"/>
      <c r="E67" s="313"/>
      <c r="F67" s="314"/>
      <c r="G67" s="314"/>
      <c r="H67" s="316"/>
      <c r="I67" s="313"/>
      <c r="J67" s="313"/>
      <c r="K67" s="314"/>
      <c r="L67" s="314"/>
      <c r="M67" s="316">
        <f>M28+M31</f>
        <v>16348.300000000001</v>
      </c>
      <c r="N67" s="313"/>
      <c r="O67" s="313"/>
      <c r="P67" s="314"/>
      <c r="Q67" s="314"/>
      <c r="R67" s="316">
        <f>R28+R31</f>
        <v>14615.8</v>
      </c>
      <c r="S67" s="313"/>
      <c r="T67" s="313"/>
      <c r="U67" s="314"/>
      <c r="V67" s="314"/>
      <c r="W67" s="316">
        <f>W28+W31</f>
        <v>14930.9</v>
      </c>
      <c r="X67" s="313"/>
      <c r="Y67" s="313"/>
      <c r="Z67" s="314"/>
      <c r="AA67" s="315"/>
      <c r="AB67" s="316">
        <f>AB28+AB31</f>
        <v>14930.9</v>
      </c>
      <c r="AC67" s="313"/>
      <c r="AD67" s="313"/>
      <c r="AE67" s="314"/>
      <c r="AF67" s="314"/>
      <c r="AG67" s="316">
        <f>AG28+AG31</f>
        <v>15030.6</v>
      </c>
      <c r="AH67" s="313"/>
      <c r="AI67" s="313"/>
      <c r="AJ67" s="314"/>
      <c r="AK67" s="314"/>
      <c r="AL67" s="316">
        <f>AL28+AL31</f>
        <v>20321.599999999999</v>
      </c>
      <c r="AM67" s="313"/>
      <c r="AN67" s="313"/>
      <c r="AO67" s="314"/>
      <c r="AP67" s="314"/>
      <c r="AQ67" s="316">
        <f>AQ28+AQ31</f>
        <v>20321.599999999999</v>
      </c>
      <c r="AR67" s="313"/>
      <c r="AS67" s="313"/>
      <c r="AT67" s="314"/>
      <c r="AU67" s="314"/>
      <c r="AV67" s="316">
        <f>AV28+AV31</f>
        <v>20321.599999999999</v>
      </c>
    </row>
  </sheetData>
  <dataConsolidate/>
  <mergeCells count="27">
    <mergeCell ref="B19:C19"/>
    <mergeCell ref="B3:C3"/>
    <mergeCell ref="B5:C5"/>
    <mergeCell ref="B6:C6"/>
    <mergeCell ref="B8:C8"/>
    <mergeCell ref="B10:C10"/>
    <mergeCell ref="B42:C42"/>
    <mergeCell ref="B20:C20"/>
    <mergeCell ref="B21:C21"/>
    <mergeCell ref="B22:C22"/>
    <mergeCell ref="B23:C23"/>
    <mergeCell ref="B34:C34"/>
    <mergeCell ref="B35:C35"/>
    <mergeCell ref="B36:C36"/>
    <mergeCell ref="B37:C37"/>
    <mergeCell ref="B38:C38"/>
    <mergeCell ref="B39:C39"/>
    <mergeCell ref="B41:C41"/>
    <mergeCell ref="B51:C51"/>
    <mergeCell ref="B52:C52"/>
    <mergeCell ref="B53:C53"/>
    <mergeCell ref="B44:C44"/>
    <mergeCell ref="B45:C45"/>
    <mergeCell ref="B47:C47"/>
    <mergeCell ref="B48:C48"/>
    <mergeCell ref="B49:C49"/>
    <mergeCell ref="B50:C50"/>
  </mergeCells>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E173C-52DC-43C0-9DE7-86CD8C82289A}">
  <sheetPr>
    <tabColor theme="3" tint="0.79998168889431442"/>
    <pageSetUpPr fitToPage="1"/>
  </sheetPr>
  <dimension ref="B1:AV65"/>
  <sheetViews>
    <sheetView showGridLines="0" zoomScaleNormal="100" workbookViewId="0">
      <pane xSplit="3" ySplit="4" topLeftCell="AK34" activePane="bottomRight" state="frozen"/>
      <selection activeCell="B24" sqref="B24:C24"/>
      <selection pane="topRight" activeCell="B24" sqref="B24:C24"/>
      <selection pane="bottomLeft" activeCell="B24" sqref="B24:C24"/>
      <selection pane="bottomRight" activeCell="AL61" sqref="AL61"/>
    </sheetView>
  </sheetViews>
  <sheetFormatPr defaultColWidth="8.88671875" defaultRowHeight="14.4" outlineLevelRow="1" outlineLevelCol="1" x14ac:dyDescent="0.3"/>
  <cols>
    <col min="1" max="1" width="2" style="2" customWidth="1"/>
    <col min="2" max="2" width="39" style="2" customWidth="1"/>
    <col min="3" max="3" width="11.77734375" style="2" customWidth="1"/>
    <col min="4" max="5" width="11.5546875" style="1" customWidth="1" outlineLevel="1"/>
    <col min="6" max="7" width="11.5546875" style="3" customWidth="1" outlineLevel="1"/>
    <col min="8" max="8" width="11.5546875" style="3" customWidth="1"/>
    <col min="9" max="10" width="11.5546875" style="1" customWidth="1" outlineLevel="1"/>
    <col min="11" max="12" width="11.5546875" style="3" customWidth="1" outlineLevel="1"/>
    <col min="13" max="13" width="11.5546875" style="3" customWidth="1"/>
    <col min="14" max="15" width="11.5546875" style="1" customWidth="1" outlineLevel="1"/>
    <col min="16" max="17" width="11.5546875" style="3" customWidth="1" outlineLevel="1"/>
    <col min="18" max="18" width="11.5546875" style="3" customWidth="1"/>
    <col min="19" max="20" width="11.5546875" style="1" customWidth="1" outlineLevel="1"/>
    <col min="21" max="22" width="11.5546875" style="3" customWidth="1" outlineLevel="1"/>
    <col min="23" max="23" width="11.5546875" style="3" customWidth="1"/>
    <col min="24" max="25" width="11.5546875" style="1" customWidth="1" outlineLevel="1"/>
    <col min="26" max="27" width="11.5546875" style="3" customWidth="1" outlineLevel="1"/>
    <col min="28" max="28" width="11.5546875" style="3" customWidth="1"/>
    <col min="29" max="30" width="11.5546875" style="1" customWidth="1" outlineLevel="1"/>
    <col min="31" max="32" width="11.5546875" style="3" customWidth="1" outlineLevel="1"/>
    <col min="33" max="33" width="11.5546875" style="3" customWidth="1"/>
    <col min="34" max="35" width="11.5546875" style="1" customWidth="1" outlineLevel="1"/>
    <col min="36" max="37" width="11.5546875" style="3" customWidth="1" outlineLevel="1"/>
    <col min="38" max="38" width="11.5546875" style="3" customWidth="1"/>
    <col min="39" max="40" width="11.5546875" style="1" customWidth="1" outlineLevel="1"/>
    <col min="41" max="42" width="11.5546875" style="3" customWidth="1" outlineLevel="1"/>
    <col min="43" max="43" width="11.5546875" style="3" customWidth="1"/>
    <col min="44" max="45" width="11.5546875" style="1" customWidth="1" outlineLevel="1"/>
    <col min="46" max="47" width="11.5546875" style="3" customWidth="1" outlineLevel="1"/>
    <col min="48" max="48" width="11.5546875" style="3" customWidth="1"/>
    <col min="49" max="16384" width="8.88671875" style="2"/>
  </cols>
  <sheetData>
    <row r="1" spans="2:48" ht="16.2" customHeight="1" x14ac:dyDescent="0.3">
      <c r="B1" s="237" t="s">
        <v>210</v>
      </c>
      <c r="D1" s="45"/>
      <c r="E1" s="149"/>
      <c r="F1" s="149"/>
      <c r="G1" s="149"/>
      <c r="H1" s="149"/>
      <c r="I1" s="216"/>
      <c r="J1" s="380"/>
      <c r="K1" s="380"/>
      <c r="L1" s="380"/>
      <c r="M1" s="380"/>
      <c r="N1" s="380"/>
      <c r="O1" s="380"/>
      <c r="P1" s="380"/>
      <c r="Q1" s="380"/>
      <c r="R1" s="380"/>
      <c r="S1" s="380"/>
      <c r="T1" s="380"/>
      <c r="U1" s="380"/>
      <c r="V1" s="216"/>
      <c r="W1" s="195"/>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row>
    <row r="2" spans="2:48" ht="6.9" customHeight="1" x14ac:dyDescent="0.3">
      <c r="B2" s="99"/>
      <c r="D2" s="45"/>
      <c r="E2" s="149"/>
      <c r="F2" s="149"/>
      <c r="G2" s="149"/>
      <c r="H2" s="149"/>
      <c r="I2" s="216"/>
      <c r="J2" s="381"/>
      <c r="K2" s="381"/>
      <c r="L2" s="381"/>
      <c r="M2" s="381"/>
      <c r="N2" s="381"/>
      <c r="O2" s="381"/>
      <c r="P2" s="381"/>
      <c r="Q2" s="381"/>
      <c r="R2" s="381"/>
      <c r="S2" s="381"/>
      <c r="T2" s="381"/>
      <c r="U2" s="381"/>
      <c r="V2" s="216"/>
      <c r="W2" s="195"/>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row>
    <row r="3" spans="2:48" ht="15.6" x14ac:dyDescent="0.3">
      <c r="B3" s="433" t="s">
        <v>267</v>
      </c>
      <c r="C3" s="434"/>
      <c r="D3" s="13" t="s">
        <v>15</v>
      </c>
      <c r="E3" s="13" t="s">
        <v>82</v>
      </c>
      <c r="F3" s="13" t="s">
        <v>84</v>
      </c>
      <c r="G3" s="13" t="s">
        <v>147</v>
      </c>
      <c r="H3" s="39" t="s">
        <v>147</v>
      </c>
      <c r="I3" s="13" t="s">
        <v>146</v>
      </c>
      <c r="J3" s="13" t="s">
        <v>145</v>
      </c>
      <c r="K3" s="13" t="s">
        <v>144</v>
      </c>
      <c r="L3" s="13" t="s">
        <v>141</v>
      </c>
      <c r="M3" s="39" t="s">
        <v>141</v>
      </c>
      <c r="N3" s="13" t="s">
        <v>148</v>
      </c>
      <c r="O3" s="13" t="s">
        <v>156</v>
      </c>
      <c r="P3" s="13" t="s">
        <v>158</v>
      </c>
      <c r="Q3" s="13" t="s">
        <v>171</v>
      </c>
      <c r="R3" s="39" t="s">
        <v>171</v>
      </c>
      <c r="S3" s="13" t="s">
        <v>187</v>
      </c>
      <c r="T3" s="13" t="s">
        <v>190</v>
      </c>
      <c r="U3" s="13" t="s">
        <v>203</v>
      </c>
      <c r="V3" s="15" t="s">
        <v>20</v>
      </c>
      <c r="W3" s="41" t="s">
        <v>20</v>
      </c>
      <c r="X3" s="15" t="s">
        <v>21</v>
      </c>
      <c r="Y3" s="15" t="s">
        <v>22</v>
      </c>
      <c r="Z3" s="15" t="s">
        <v>23</v>
      </c>
      <c r="AA3" s="15" t="s">
        <v>24</v>
      </c>
      <c r="AB3" s="41" t="s">
        <v>24</v>
      </c>
      <c r="AC3" s="15" t="s">
        <v>86</v>
      </c>
      <c r="AD3" s="15" t="s">
        <v>87</v>
      </c>
      <c r="AE3" s="15" t="s">
        <v>88</v>
      </c>
      <c r="AF3" s="15" t="s">
        <v>89</v>
      </c>
      <c r="AG3" s="41" t="s">
        <v>89</v>
      </c>
      <c r="AH3" s="15" t="s">
        <v>105</v>
      </c>
      <c r="AI3" s="15" t="s">
        <v>106</v>
      </c>
      <c r="AJ3" s="15" t="s">
        <v>107</v>
      </c>
      <c r="AK3" s="15" t="s">
        <v>108</v>
      </c>
      <c r="AL3" s="41" t="s">
        <v>108</v>
      </c>
      <c r="AM3" s="15" t="s">
        <v>160</v>
      </c>
      <c r="AN3" s="15" t="s">
        <v>161</v>
      </c>
      <c r="AO3" s="15" t="s">
        <v>162</v>
      </c>
      <c r="AP3" s="15" t="s">
        <v>163</v>
      </c>
      <c r="AQ3" s="41" t="s">
        <v>163</v>
      </c>
      <c r="AR3" s="15" t="s">
        <v>191</v>
      </c>
      <c r="AS3" s="15" t="s">
        <v>192</v>
      </c>
      <c r="AT3" s="15" t="s">
        <v>193</v>
      </c>
      <c r="AU3" s="15" t="s">
        <v>194</v>
      </c>
      <c r="AV3" s="41" t="s">
        <v>194</v>
      </c>
    </row>
    <row r="4" spans="2:48" ht="16.2" x14ac:dyDescent="0.45">
      <c r="B4" s="251" t="s">
        <v>3</v>
      </c>
      <c r="C4" s="252"/>
      <c r="D4" s="14" t="s">
        <v>19</v>
      </c>
      <c r="E4" s="14" t="s">
        <v>81</v>
      </c>
      <c r="F4" s="14" t="s">
        <v>85</v>
      </c>
      <c r="G4" s="14" t="s">
        <v>95</v>
      </c>
      <c r="H4" s="40" t="s">
        <v>96</v>
      </c>
      <c r="I4" s="14" t="s">
        <v>97</v>
      </c>
      <c r="J4" s="14" t="s">
        <v>98</v>
      </c>
      <c r="K4" s="14" t="s">
        <v>99</v>
      </c>
      <c r="L4" s="14" t="s">
        <v>142</v>
      </c>
      <c r="M4" s="40" t="s">
        <v>143</v>
      </c>
      <c r="N4" s="14" t="s">
        <v>149</v>
      </c>
      <c r="O4" s="14" t="s">
        <v>157</v>
      </c>
      <c r="P4" s="14" t="s">
        <v>159</v>
      </c>
      <c r="Q4" s="14" t="s">
        <v>172</v>
      </c>
      <c r="R4" s="40" t="s">
        <v>173</v>
      </c>
      <c r="S4" s="14" t="s">
        <v>188</v>
      </c>
      <c r="T4" s="14" t="s">
        <v>189</v>
      </c>
      <c r="U4" s="14" t="s">
        <v>204</v>
      </c>
      <c r="V4" s="12" t="s">
        <v>25</v>
      </c>
      <c r="W4" s="42" t="s">
        <v>26</v>
      </c>
      <c r="X4" s="12" t="s">
        <v>27</v>
      </c>
      <c r="Y4" s="12" t="s">
        <v>28</v>
      </c>
      <c r="Z4" s="12" t="s">
        <v>29</v>
      </c>
      <c r="AA4" s="12" t="s">
        <v>30</v>
      </c>
      <c r="AB4" s="42" t="s">
        <v>31</v>
      </c>
      <c r="AC4" s="12" t="s">
        <v>90</v>
      </c>
      <c r="AD4" s="12" t="s">
        <v>91</v>
      </c>
      <c r="AE4" s="12" t="s">
        <v>92</v>
      </c>
      <c r="AF4" s="12" t="s">
        <v>93</v>
      </c>
      <c r="AG4" s="42" t="s">
        <v>94</v>
      </c>
      <c r="AH4" s="12" t="s">
        <v>109</v>
      </c>
      <c r="AI4" s="12" t="s">
        <v>110</v>
      </c>
      <c r="AJ4" s="12" t="s">
        <v>111</v>
      </c>
      <c r="AK4" s="12" t="s">
        <v>112</v>
      </c>
      <c r="AL4" s="42" t="s">
        <v>113</v>
      </c>
      <c r="AM4" s="12" t="s">
        <v>164</v>
      </c>
      <c r="AN4" s="12" t="s">
        <v>165</v>
      </c>
      <c r="AO4" s="12" t="s">
        <v>166</v>
      </c>
      <c r="AP4" s="12" t="s">
        <v>167</v>
      </c>
      <c r="AQ4" s="42" t="s">
        <v>168</v>
      </c>
      <c r="AR4" s="12" t="s">
        <v>195</v>
      </c>
      <c r="AS4" s="12" t="s">
        <v>196</v>
      </c>
      <c r="AT4" s="12" t="s">
        <v>197</v>
      </c>
      <c r="AU4" s="12" t="s">
        <v>198</v>
      </c>
      <c r="AV4" s="42" t="s">
        <v>199</v>
      </c>
    </row>
    <row r="5" spans="2:48" outlineLevel="1" x14ac:dyDescent="0.3">
      <c r="B5" s="457" t="s">
        <v>268</v>
      </c>
      <c r="C5" s="458"/>
      <c r="D5" s="4"/>
      <c r="E5" s="4"/>
      <c r="F5" s="4"/>
      <c r="G5" s="4"/>
      <c r="H5" s="317"/>
      <c r="I5" s="4"/>
      <c r="J5" s="4"/>
      <c r="K5" s="318"/>
      <c r="L5" s="4"/>
      <c r="M5" s="317"/>
      <c r="N5" s="4"/>
      <c r="O5" s="4"/>
      <c r="P5" s="4"/>
      <c r="Q5" s="4"/>
      <c r="R5" s="317"/>
      <c r="S5" s="4"/>
      <c r="T5" s="4"/>
      <c r="U5" s="4"/>
      <c r="V5" s="4"/>
      <c r="W5" s="317"/>
      <c r="X5" s="4"/>
      <c r="Y5" s="4"/>
      <c r="Z5" s="4"/>
      <c r="AA5" s="4"/>
      <c r="AB5" s="317"/>
      <c r="AC5" s="4"/>
      <c r="AD5" s="4"/>
      <c r="AE5" s="4"/>
      <c r="AF5" s="4"/>
      <c r="AG5" s="317"/>
      <c r="AH5" s="4"/>
      <c r="AI5" s="4"/>
      <c r="AJ5" s="4"/>
      <c r="AK5" s="4"/>
      <c r="AL5" s="317"/>
      <c r="AM5" s="4"/>
      <c r="AN5" s="4"/>
      <c r="AO5" s="4"/>
      <c r="AP5" s="4"/>
      <c r="AQ5" s="317"/>
      <c r="AR5" s="4"/>
      <c r="AS5" s="4"/>
      <c r="AT5" s="4"/>
      <c r="AU5" s="4"/>
      <c r="AV5" s="317"/>
    </row>
    <row r="6" spans="2:48" outlineLevel="1" x14ac:dyDescent="0.3">
      <c r="B6" s="308" t="s">
        <v>269</v>
      </c>
      <c r="C6" s="44"/>
      <c r="D6" s="16">
        <v>760.40000000000043</v>
      </c>
      <c r="E6" s="101">
        <v>658.59999999999968</v>
      </c>
      <c r="F6" s="16">
        <v>1373.200000000001</v>
      </c>
      <c r="G6" s="16">
        <v>802.400000000001</v>
      </c>
      <c r="H6" s="17">
        <v>3594.6000000000054</v>
      </c>
      <c r="I6" s="16">
        <v>885.29999999999882</v>
      </c>
      <c r="J6" s="16">
        <v>324.79999999999905</v>
      </c>
      <c r="K6" s="16">
        <v>-678.09999999999923</v>
      </c>
      <c r="L6" s="16">
        <f>924.7-K6-J6-I6</f>
        <v>392.70000000000141</v>
      </c>
      <c r="M6" s="17">
        <v>924.70000000000437</v>
      </c>
      <c r="N6" s="16">
        <v>622.20000000000016</v>
      </c>
      <c r="O6" s="16">
        <v>659.4</v>
      </c>
      <c r="P6" s="16">
        <v>1154.1999999999989</v>
      </c>
      <c r="Q6" s="16">
        <v>1764.6</v>
      </c>
      <c r="R6" s="17">
        <v>4200.3999999999978</v>
      </c>
      <c r="S6" s="16">
        <v>816.10000000000014</v>
      </c>
      <c r="T6" s="16">
        <v>675.00000000000011</v>
      </c>
      <c r="U6" s="16">
        <v>913.69999999999959</v>
      </c>
      <c r="V6" s="16">
        <f>'IS (Base-Case)'!V25</f>
        <v>766.45200440213353</v>
      </c>
      <c r="W6" s="17">
        <f t="shared" ref="W6:W13" si="0">SUM(S6:V6)</f>
        <v>3171.2520044021339</v>
      </c>
      <c r="X6" s="16">
        <f>'IS (Base-Case)'!X25</f>
        <v>806.52584225126407</v>
      </c>
      <c r="Y6" s="16">
        <f>'IS (Base-Case)'!Y25</f>
        <v>785.8876141579351</v>
      </c>
      <c r="Z6" s="16">
        <f>'IS (Base-Case)'!Z25</f>
        <v>1013.6072362595346</v>
      </c>
      <c r="AA6" s="16">
        <f>'IS (Base-Case)'!AA25</f>
        <v>1082.1271452832177</v>
      </c>
      <c r="AB6" s="17">
        <f t="shared" ref="AB6" si="1">SUM(X6:AA6)</f>
        <v>3688.1478379519513</v>
      </c>
      <c r="AC6" s="16">
        <f>'IS (Base-Case)'!AC25</f>
        <v>1109.8061631354949</v>
      </c>
      <c r="AD6" s="16">
        <f>'IS (Base-Case)'!AD25</f>
        <v>914.13175288605191</v>
      </c>
      <c r="AE6" s="16">
        <f>'IS (Base-Case)'!AE25</f>
        <v>1139.971189996266</v>
      </c>
      <c r="AF6" s="16">
        <f>'IS (Base-Case)'!AF25</f>
        <v>1125.9513031539486</v>
      </c>
      <c r="AG6" s="17">
        <f t="shared" ref="AG6" si="2">SUM(AC6:AF6)</f>
        <v>4289.8604091717607</v>
      </c>
      <c r="AH6" s="16">
        <f>'IS (Base-Case)'!AH25</f>
        <v>1306.9473475341936</v>
      </c>
      <c r="AI6" s="16">
        <f>'IS (Base-Case)'!AI25</f>
        <v>1091.0542437185381</v>
      </c>
      <c r="AJ6" s="16">
        <f>'IS (Base-Case)'!AJ25</f>
        <v>1400.1543057318988</v>
      </c>
      <c r="AK6" s="16">
        <f>'IS (Base-Case)'!AK25</f>
        <v>1306.4403955835687</v>
      </c>
      <c r="AL6" s="17">
        <f t="shared" ref="AL6" si="3">SUM(AH6:AK6)</f>
        <v>5104.5962925681988</v>
      </c>
      <c r="AM6" s="16">
        <f>'IS (Base-Case)'!AM25</f>
        <v>1411.522351228864</v>
      </c>
      <c r="AN6" s="16">
        <f>'IS (Base-Case)'!AN25</f>
        <v>1165.8357079255456</v>
      </c>
      <c r="AO6" s="16">
        <f>'IS (Base-Case)'!AO25</f>
        <v>1487.6651528347866</v>
      </c>
      <c r="AP6" s="16">
        <f>'IS (Base-Case)'!AP25</f>
        <v>1416.6656372199841</v>
      </c>
      <c r="AQ6" s="17">
        <f t="shared" ref="AQ6" si="4">SUM(AM6:AP6)</f>
        <v>5481.6888492091803</v>
      </c>
      <c r="AR6" s="16">
        <f>'IS (Base-Case)'!AR25</f>
        <v>1517.1868260109236</v>
      </c>
      <c r="AS6" s="16">
        <f>'IS (Base-Case)'!AS25</f>
        <v>1256.1944137376786</v>
      </c>
      <c r="AT6" s="16">
        <f>'IS (Base-Case)'!AT25</f>
        <v>1597.6301753266966</v>
      </c>
      <c r="AU6" s="16">
        <f>'IS (Base-Case)'!AU25</f>
        <v>1524.8943125669014</v>
      </c>
      <c r="AV6" s="17">
        <f t="shared" ref="AV6" si="5">SUM(AR6:AU6)</f>
        <v>5895.9057276422</v>
      </c>
    </row>
    <row r="7" spans="2:48" outlineLevel="1" x14ac:dyDescent="0.3">
      <c r="B7" s="308" t="s">
        <v>270</v>
      </c>
      <c r="C7" s="44"/>
      <c r="D7" s="16">
        <v>350.8</v>
      </c>
      <c r="E7" s="16">
        <f>723.5-D7</f>
        <v>372.7</v>
      </c>
      <c r="F7" s="16">
        <f>1083.6-E7-D7</f>
        <v>360.09999999999985</v>
      </c>
      <c r="G7" s="16">
        <f>1449.3-F7-E7-D7</f>
        <v>365.7</v>
      </c>
      <c r="H7" s="17">
        <f t="shared" ref="H7:H13" si="6">SUM(D7:G7)</f>
        <v>1449.3</v>
      </c>
      <c r="I7" s="16">
        <v>369.2</v>
      </c>
      <c r="J7" s="16">
        <f>746.9-I7</f>
        <v>377.7</v>
      </c>
      <c r="K7" s="16">
        <f>1124-J7-I7</f>
        <v>377.09999999999997</v>
      </c>
      <c r="L7" s="16">
        <f>1503.2-K7-J7-I7</f>
        <v>379.2000000000001</v>
      </c>
      <c r="M7" s="17">
        <f t="shared" ref="M7:M13" si="7">SUM(I7:L7)</f>
        <v>1503.2</v>
      </c>
      <c r="N7" s="16">
        <v>388.4</v>
      </c>
      <c r="O7" s="16">
        <f>772.9-N7</f>
        <v>384.5</v>
      </c>
      <c r="P7" s="16">
        <f>1146.2-O7-N7</f>
        <v>373.30000000000007</v>
      </c>
      <c r="Q7" s="16">
        <f>1524.1-P7-O7-N7</f>
        <v>377.89999999999975</v>
      </c>
      <c r="R7" s="17">
        <f t="shared" ref="R7:R13" si="8">SUM(N7:Q7)</f>
        <v>1524.1</v>
      </c>
      <c r="S7" s="16">
        <v>386.4</v>
      </c>
      <c r="T7" s="16">
        <f>777.7-S7</f>
        <v>391.30000000000007</v>
      </c>
      <c r="U7" s="16">
        <f>1169-T7-S7</f>
        <v>391.29999999999995</v>
      </c>
      <c r="V7" s="16">
        <f>('BS (Base-Case)'!U14*'BS (Base-Case)'!V56)</f>
        <v>388.60223486519351</v>
      </c>
      <c r="W7" s="17">
        <f t="shared" si="0"/>
        <v>1557.6022348651936</v>
      </c>
      <c r="X7" s="16">
        <f>('BS (Base-Case)'!W14*'BS (Base-Case)'!X56)</f>
        <v>395.05484417418882</v>
      </c>
      <c r="Y7" s="16">
        <f>('BS (Base-Case)'!X14*'BS (Base-Case)'!Y56)</f>
        <v>411.97358561619359</v>
      </c>
      <c r="Z7" s="16">
        <f>('BS (Base-Case)'!Y14*'BS (Base-Case)'!Z56)</f>
        <v>426.0942333748124</v>
      </c>
      <c r="AA7" s="16">
        <f>('BS (Base-Case)'!Z14*'BS (Base-Case)'!AA56)</f>
        <v>443.12162482405927</v>
      </c>
      <c r="AB7" s="17">
        <f t="shared" ref="AB7:AB13" si="9">SUM(X7:AA7)</f>
        <v>1676.2442879892542</v>
      </c>
      <c r="AC7" s="16">
        <f>('BS (Base-Case)'!AB14*'BS (Base-Case)'!AC56)</f>
        <v>460.36469566335944</v>
      </c>
      <c r="AD7" s="16">
        <f>('BS (Base-Case)'!AC14*'BS (Base-Case)'!AD56)</f>
        <v>473.72843212383037</v>
      </c>
      <c r="AE7" s="16">
        <f>('BS (Base-Case)'!AD14*'BS (Base-Case)'!AE56)</f>
        <v>483.94719089268239</v>
      </c>
      <c r="AF7" s="16">
        <f>('BS (Base-Case)'!AE14*'BS (Base-Case)'!AF56)</f>
        <v>497.3308997633788</v>
      </c>
      <c r="AG7" s="17">
        <f t="shared" ref="AG7:AG13" si="10">SUM(AC7:AF7)</f>
        <v>1915.3712184432509</v>
      </c>
      <c r="AH7" s="16">
        <f>('BS (Base-Case)'!AG14*'BS (Base-Case)'!AH56)</f>
        <v>511.04432742042661</v>
      </c>
      <c r="AI7" s="16">
        <f>('BS (Base-Case)'!AH14*'BS (Base-Case)'!AI56)</f>
        <v>521.28508540048176</v>
      </c>
      <c r="AJ7" s="16">
        <f>('BS (Base-Case)'!AI14*'BS (Base-Case)'!AJ56)</f>
        <v>528.61395315514869</v>
      </c>
      <c r="AK7" s="16">
        <f>('BS (Base-Case)'!AJ14*'BS (Base-Case)'!AK56)</f>
        <v>539.27985303808055</v>
      </c>
      <c r="AL7" s="17">
        <f t="shared" ref="AL7:AL13" si="11">SUM(AH7:AK7)</f>
        <v>2100.2232190141376</v>
      </c>
      <c r="AM7" s="16">
        <f>('BS (Base-Case)'!AL14*'BS (Base-Case)'!AM56)</f>
        <v>550.49689671777037</v>
      </c>
      <c r="AN7" s="16">
        <f>('BS (Base-Case)'!AM14*'BS (Base-Case)'!AN56)</f>
        <v>562.47346275039888</v>
      </c>
      <c r="AO7" s="16">
        <f>('BS (Base-Case)'!AN14*'BS (Base-Case)'!AO56)</f>
        <v>570.9960580289752</v>
      </c>
      <c r="AP7" s="16">
        <f>('BS (Base-Case)'!AO14*'BS (Base-Case)'!AP56)</f>
        <v>582.95989381806976</v>
      </c>
      <c r="AQ7" s="17">
        <f t="shared" ref="AQ7:AQ13" si="12">SUM(AM7:AP7)</f>
        <v>2266.9263113152142</v>
      </c>
      <c r="AR7" s="16">
        <f>('BS (Base-Case)'!AQ14*'BS (Base-Case)'!AR56)</f>
        <v>595.35679349257009</v>
      </c>
      <c r="AS7" s="16">
        <f>('BS (Base-Case)'!AR14*'BS (Base-Case)'!AS56)</f>
        <v>607.56363343668158</v>
      </c>
      <c r="AT7" s="16">
        <f>('BS (Base-Case)'!AS14*'BS (Base-Case)'!AT56)</f>
        <v>616.09275353103158</v>
      </c>
      <c r="AU7" s="16">
        <f>('BS (Base-Case)'!AT14*'BS (Base-Case)'!AU56)</f>
        <v>628.30472439664527</v>
      </c>
      <c r="AV7" s="17">
        <f t="shared" ref="AV7:AV13" si="13">SUM(AR7:AU7)</f>
        <v>2447.3179048569286</v>
      </c>
    </row>
    <row r="8" spans="2:48" outlineLevel="1" x14ac:dyDescent="0.3">
      <c r="B8" s="308" t="s">
        <v>223</v>
      </c>
      <c r="C8" s="44"/>
      <c r="D8" s="16">
        <v>-354.6</v>
      </c>
      <c r="E8" s="16">
        <f>-714.5-D8</f>
        <v>-359.9</v>
      </c>
      <c r="F8" s="16">
        <f>-1243.5-E8-D8</f>
        <v>-529</v>
      </c>
      <c r="G8" s="101">
        <f>-1495.4-F8-E8-D8</f>
        <v>-251.90000000000009</v>
      </c>
      <c r="H8" s="17">
        <f t="shared" si="6"/>
        <v>-1495.4</v>
      </c>
      <c r="I8" s="16">
        <v>10.4</v>
      </c>
      <c r="J8" s="16">
        <f>47.7-I8</f>
        <v>37.300000000000004</v>
      </c>
      <c r="K8" s="16">
        <f>20-J8-I8</f>
        <v>-27.700000000000003</v>
      </c>
      <c r="L8" s="101">
        <f>-25.8-K8-J8-I8</f>
        <v>-45.800000000000004</v>
      </c>
      <c r="M8" s="17">
        <f t="shared" si="7"/>
        <v>-25.800000000000004</v>
      </c>
      <c r="N8" s="16">
        <v>-6.1</v>
      </c>
      <c r="O8" s="16">
        <f>-25.2-N8</f>
        <v>-19.100000000000001</v>
      </c>
      <c r="P8" s="16">
        <f>-113.2-O8-N8</f>
        <v>-88</v>
      </c>
      <c r="Q8" s="101">
        <f>-146.2-P8-O8-N8</f>
        <v>-32.999999999999986</v>
      </c>
      <c r="R8" s="17">
        <f t="shared" si="8"/>
        <v>-146.19999999999999</v>
      </c>
      <c r="S8" s="16">
        <v>-0.3</v>
      </c>
      <c r="T8" s="16">
        <f>28.4-S8</f>
        <v>28.7</v>
      </c>
      <c r="U8" s="16">
        <f>35-T8-S8</f>
        <v>6.6000000000000005</v>
      </c>
      <c r="V8" s="16">
        <f>-('BS (Base-Case)'!V16-'BS (Base-Case)'!U16)</f>
        <v>-29.061088555148217</v>
      </c>
      <c r="W8" s="17">
        <f t="shared" si="0"/>
        <v>5.938911444851783</v>
      </c>
      <c r="X8" s="16">
        <f>-('BS (Base-Case)'!X16-'BS (Base-Case)'!V16)</f>
        <v>-85.468710659521548</v>
      </c>
      <c r="Y8" s="16">
        <f>-('BS (Base-Case)'!Y16-'BS (Base-Case)'!X16)</f>
        <v>76.615352043510484</v>
      </c>
      <c r="Z8" s="16">
        <f>-('BS (Base-Case)'!Z16-'BS (Base-Case)'!Y16)</f>
        <v>13.444085279574892</v>
      </c>
      <c r="AA8" s="16">
        <f>-('BS (Base-Case)'!AA16-'BS (Base-Case)'!Z16)</f>
        <v>5.796871076917796</v>
      </c>
      <c r="AB8" s="17">
        <f t="shared" si="9"/>
        <v>10.387597740481624</v>
      </c>
      <c r="AC8" s="16">
        <f>-('BS (Base-Case)'!AC16-'BS (Base-Case)'!AA16)</f>
        <v>-111.80204784423381</v>
      </c>
      <c r="AD8" s="16">
        <f>-('BS (Base-Case)'!AD16-'BS (Base-Case)'!AC16)</f>
        <v>85.475538825547574</v>
      </c>
      <c r="AE8" s="16">
        <f>-('BS (Base-Case)'!AE16-'BS (Base-Case)'!AD16)</f>
        <v>11.265955380932837</v>
      </c>
      <c r="AF8" s="16">
        <f>-('BS (Base-Case)'!AF16-'BS (Base-Case)'!AE16)</f>
        <v>10.591829976826375</v>
      </c>
      <c r="AG8" s="17">
        <f t="shared" si="10"/>
        <v>-4.4687236609270258</v>
      </c>
      <c r="AH8" s="16">
        <f>-('BS (Base-Case)'!AH16-'BS (Base-Case)'!AF16)</f>
        <v>-125.05453091257664</v>
      </c>
      <c r="AI8" s="16">
        <f>-('BS (Base-Case)'!AI16-'BS (Base-Case)'!AH16)</f>
        <v>92.478070341651119</v>
      </c>
      <c r="AJ8" s="16">
        <f>-('BS (Base-Case)'!AJ16-'BS (Base-Case)'!AI16)</f>
        <v>11.449695696046547</v>
      </c>
      <c r="AK8" s="16">
        <f>-('BS (Base-Case)'!AK16-'BS (Base-Case)'!AJ16)</f>
        <v>11.354166666982792</v>
      </c>
      <c r="AL8" s="17">
        <f t="shared" si="11"/>
        <v>-9.7725982078961806</v>
      </c>
      <c r="AM8" s="16">
        <f>-('BS (Base-Case)'!AM16-'BS (Base-Case)'!AK16)</f>
        <v>-136.67318679588493</v>
      </c>
      <c r="AN8" s="16">
        <f>-('BS (Base-Case)'!AN16-'BS (Base-Case)'!AM16)</f>
        <v>99.616436467583071</v>
      </c>
      <c r="AO8" s="16">
        <f>-('BS (Base-Case)'!AO16-'BS (Base-Case)'!AN16)</f>
        <v>11.747778753396688</v>
      </c>
      <c r="AP8" s="16">
        <f>-('BS (Base-Case)'!AP16-'BS (Base-Case)'!AO16)</f>
        <v>11.668837291818136</v>
      </c>
      <c r="AQ8" s="17">
        <f t="shared" si="12"/>
        <v>-13.640134283087036</v>
      </c>
      <c r="AR8" s="16">
        <f>-('BS (Base-Case)'!AR16-'BS (Base-Case)'!AP16)</f>
        <v>-148.77707258237524</v>
      </c>
      <c r="AS8" s="16">
        <f>-('BS (Base-Case)'!AS16-'BS (Base-Case)'!AR16)</f>
        <v>107.25035350842995</v>
      </c>
      <c r="AT8" s="16">
        <f>-('BS (Base-Case)'!AT16-'BS (Base-Case)'!AS16)</f>
        <v>12.062876678310658</v>
      </c>
      <c r="AU8" s="16">
        <f>-('BS (Base-Case)'!AU16-'BS (Base-Case)'!AT16)</f>
        <v>11.975353561145312</v>
      </c>
      <c r="AV8" s="17">
        <f t="shared" si="13"/>
        <v>-17.488488834489317</v>
      </c>
    </row>
    <row r="9" spans="2:48" outlineLevel="1" x14ac:dyDescent="0.3">
      <c r="B9" s="308" t="s">
        <v>271</v>
      </c>
      <c r="C9" s="44"/>
      <c r="D9" s="16">
        <v>-55</v>
      </c>
      <c r="E9" s="16">
        <f>-108.2-D9</f>
        <v>-53.2</v>
      </c>
      <c r="F9" s="16">
        <f>-174.1-E9-D9</f>
        <v>-65.899999999999991</v>
      </c>
      <c r="G9" s="101">
        <f>-250.6-F9-E9-D9</f>
        <v>-76.5</v>
      </c>
      <c r="H9" s="17">
        <f t="shared" si="6"/>
        <v>-250.6</v>
      </c>
      <c r="I9" s="16">
        <v>-62.9</v>
      </c>
      <c r="J9" s="16">
        <f>-116.3-I9</f>
        <v>-53.4</v>
      </c>
      <c r="K9" s="16">
        <f>-182.3-J9-I9</f>
        <v>-66</v>
      </c>
      <c r="L9" s="101">
        <f>-280.7-K9-J9-I9</f>
        <v>-98.399999999999977</v>
      </c>
      <c r="M9" s="17">
        <f t="shared" si="7"/>
        <v>-280.7</v>
      </c>
      <c r="N9" s="16">
        <v>-69</v>
      </c>
      <c r="O9" s="16">
        <f>-131.3-N9</f>
        <v>-62.300000000000011</v>
      </c>
      <c r="P9" s="16">
        <f>-238.3-O9-N9</f>
        <v>-107</v>
      </c>
      <c r="Q9" s="101">
        <f>-347.3-P9-O9-N9</f>
        <v>-109</v>
      </c>
      <c r="R9" s="17">
        <f t="shared" si="8"/>
        <v>-347.3</v>
      </c>
      <c r="S9" s="16">
        <v>-46.6</v>
      </c>
      <c r="T9" s="16">
        <f>-118.7-S9</f>
        <v>-72.099999999999994</v>
      </c>
      <c r="U9" s="16">
        <f>-175-T9-S9</f>
        <v>-56.300000000000004</v>
      </c>
      <c r="V9" s="16">
        <f>-'IS (Base-Case)'!V16</f>
        <v>-54.1</v>
      </c>
      <c r="W9" s="17">
        <f t="shared" si="0"/>
        <v>-229.1</v>
      </c>
      <c r="X9" s="16">
        <f>-'IS (Base-Case)'!X16</f>
        <v>-54.1</v>
      </c>
      <c r="Y9" s="16">
        <f>-'IS (Base-Case)'!Y16</f>
        <v>-54.2</v>
      </c>
      <c r="Z9" s="16">
        <f>-'IS (Base-Case)'!Z16</f>
        <v>-54.300000000000004</v>
      </c>
      <c r="AA9" s="16">
        <f>-'IS (Base-Case)'!AA16</f>
        <v>-54.400000000000006</v>
      </c>
      <c r="AB9" s="17">
        <f t="shared" si="9"/>
        <v>-217.00000000000003</v>
      </c>
      <c r="AC9" s="16">
        <f>-'IS (Base-Case)'!AC16</f>
        <v>-54.7</v>
      </c>
      <c r="AD9" s="16">
        <f>-'IS (Base-Case)'!AD16</f>
        <v>-54.7</v>
      </c>
      <c r="AE9" s="16">
        <f>-'IS (Base-Case)'!AE16</f>
        <v>-54.7</v>
      </c>
      <c r="AF9" s="16">
        <f>-'IS (Base-Case)'!AF16</f>
        <v>-54.7</v>
      </c>
      <c r="AG9" s="17">
        <f t="shared" si="10"/>
        <v>-218.8</v>
      </c>
      <c r="AH9" s="16">
        <f>-'IS (Base-Case)'!AH16</f>
        <v>-54.7</v>
      </c>
      <c r="AI9" s="16">
        <f>-'IS (Base-Case)'!AI16</f>
        <v>-54.7</v>
      </c>
      <c r="AJ9" s="16">
        <f>-'IS (Base-Case)'!AJ16</f>
        <v>-54.7</v>
      </c>
      <c r="AK9" s="16">
        <f>-'IS (Base-Case)'!AK16</f>
        <v>-54.7</v>
      </c>
      <c r="AL9" s="17">
        <f t="shared" si="11"/>
        <v>-218.8</v>
      </c>
      <c r="AM9" s="16">
        <f>-'IS (Base-Case)'!AM16</f>
        <v>-54.7</v>
      </c>
      <c r="AN9" s="16">
        <f>-'IS (Base-Case)'!AN16</f>
        <v>-54.7</v>
      </c>
      <c r="AO9" s="16">
        <f>-'IS (Base-Case)'!AO16</f>
        <v>-54.7</v>
      </c>
      <c r="AP9" s="16">
        <f>-'IS (Base-Case)'!AP16</f>
        <v>-54.7</v>
      </c>
      <c r="AQ9" s="17">
        <f t="shared" si="12"/>
        <v>-218.8</v>
      </c>
      <c r="AR9" s="16">
        <f>-'IS (Base-Case)'!AR16</f>
        <v>-54.7</v>
      </c>
      <c r="AS9" s="16">
        <f>-'IS (Base-Case)'!AS16</f>
        <v>-54.7</v>
      </c>
      <c r="AT9" s="16">
        <f>-'IS (Base-Case)'!AT16</f>
        <v>-54.7</v>
      </c>
      <c r="AU9" s="16">
        <f>-'IS (Base-Case)'!AU16</f>
        <v>-54.7</v>
      </c>
      <c r="AV9" s="17">
        <f t="shared" si="13"/>
        <v>-218.8</v>
      </c>
    </row>
    <row r="10" spans="2:48" outlineLevel="1" x14ac:dyDescent="0.3">
      <c r="B10" s="308" t="s">
        <v>272</v>
      </c>
      <c r="C10" s="44"/>
      <c r="D10" s="16">
        <v>63.7</v>
      </c>
      <c r="E10" s="16">
        <f>93.3-D10</f>
        <v>29.599999999999994</v>
      </c>
      <c r="F10" s="16">
        <f>163.7-E10-D10</f>
        <v>70.399999999999991</v>
      </c>
      <c r="G10" s="101">
        <f>216.8-F10-E10-D10</f>
        <v>53.100000000000037</v>
      </c>
      <c r="H10" s="17">
        <f t="shared" si="6"/>
        <v>216.8</v>
      </c>
      <c r="I10" s="16">
        <v>64.3</v>
      </c>
      <c r="J10" s="16">
        <f>98.1-I10</f>
        <v>33.799999999999997</v>
      </c>
      <c r="K10" s="16">
        <f>165.6-J10-I10</f>
        <v>67.500000000000014</v>
      </c>
      <c r="L10" s="101">
        <f>227.7-K10-J10-I10</f>
        <v>62.099999999999994</v>
      </c>
      <c r="M10" s="17">
        <f t="shared" si="7"/>
        <v>227.70000000000002</v>
      </c>
      <c r="N10" s="16">
        <v>77.2</v>
      </c>
      <c r="O10" s="16">
        <f>130.2-N10</f>
        <v>52.999999999999986</v>
      </c>
      <c r="P10" s="16">
        <f>226.7-O10-N10</f>
        <v>96.499999999999986</v>
      </c>
      <c r="Q10" s="101">
        <f>336-P10-O10-N10</f>
        <v>109.3</v>
      </c>
      <c r="R10" s="17">
        <f t="shared" si="8"/>
        <v>336</v>
      </c>
      <c r="S10" s="16">
        <v>44.9</v>
      </c>
      <c r="T10" s="16">
        <f>100.8-S10</f>
        <v>55.9</v>
      </c>
      <c r="U10" s="16">
        <f>145.9-T10-S10</f>
        <v>45.1</v>
      </c>
      <c r="V10" s="16">
        <f>-V54*V9</f>
        <v>54.1</v>
      </c>
      <c r="W10" s="17">
        <f t="shared" si="0"/>
        <v>200</v>
      </c>
      <c r="X10" s="16">
        <f>-X54*X9</f>
        <v>54.1</v>
      </c>
      <c r="Y10" s="16">
        <f>-Y54*Y9</f>
        <v>54.2</v>
      </c>
      <c r="Z10" s="16">
        <f>-Z54*Z9</f>
        <v>54.300000000000004</v>
      </c>
      <c r="AA10" s="16">
        <f>-AA54*AA9</f>
        <v>54.400000000000006</v>
      </c>
      <c r="AB10" s="17">
        <f t="shared" si="9"/>
        <v>217.00000000000003</v>
      </c>
      <c r="AC10" s="16">
        <f>-AC54*AC9</f>
        <v>54.7</v>
      </c>
      <c r="AD10" s="16">
        <f>-AD54*AD9</f>
        <v>54.7</v>
      </c>
      <c r="AE10" s="16">
        <f>-AE54*AE9</f>
        <v>54.7</v>
      </c>
      <c r="AF10" s="16">
        <f>-AF54*AF9</f>
        <v>54.7</v>
      </c>
      <c r="AG10" s="17">
        <f t="shared" si="10"/>
        <v>218.8</v>
      </c>
      <c r="AH10" s="16">
        <f>-AH54*AH9</f>
        <v>54.7</v>
      </c>
      <c r="AI10" s="16">
        <f>-AI54*AI9</f>
        <v>54.7</v>
      </c>
      <c r="AJ10" s="16">
        <f>-AJ54*AJ9</f>
        <v>54.7</v>
      </c>
      <c r="AK10" s="16">
        <f>-AK54*AK9</f>
        <v>54.7</v>
      </c>
      <c r="AL10" s="17">
        <f t="shared" si="11"/>
        <v>218.8</v>
      </c>
      <c r="AM10" s="16">
        <f>-AM54*AM9</f>
        <v>54.7</v>
      </c>
      <c r="AN10" s="16">
        <f>-AN54*AN9</f>
        <v>54.7</v>
      </c>
      <c r="AO10" s="16">
        <f>-AO54*AO9</f>
        <v>54.7</v>
      </c>
      <c r="AP10" s="16">
        <f>-AP54*AP9</f>
        <v>54.7</v>
      </c>
      <c r="AQ10" s="17">
        <f t="shared" si="12"/>
        <v>218.8</v>
      </c>
      <c r="AR10" s="16">
        <f>-AR54*AR9</f>
        <v>54.7</v>
      </c>
      <c r="AS10" s="16">
        <f>-AS54*AS9</f>
        <v>54.7</v>
      </c>
      <c r="AT10" s="16">
        <f>-AT54*AT9</f>
        <v>54.7</v>
      </c>
      <c r="AU10" s="16">
        <f>-AU54*AU9</f>
        <v>54.7</v>
      </c>
      <c r="AV10" s="17">
        <f t="shared" si="13"/>
        <v>218.8</v>
      </c>
    </row>
    <row r="11" spans="2:48" outlineLevel="1" x14ac:dyDescent="0.3">
      <c r="B11" s="308" t="s">
        <v>273</v>
      </c>
      <c r="C11" s="44"/>
      <c r="D11" s="16">
        <v>0</v>
      </c>
      <c r="E11" s="16">
        <f>-21-D11</f>
        <v>-21</v>
      </c>
      <c r="F11" s="16">
        <f>-622.8-E11-D11</f>
        <v>-601.79999999999995</v>
      </c>
      <c r="G11" s="101">
        <f>-622.8-F11-E11-D11</f>
        <v>0</v>
      </c>
      <c r="H11" s="17">
        <f t="shared" si="6"/>
        <v>-622.79999999999995</v>
      </c>
      <c r="I11" s="16">
        <v>0</v>
      </c>
      <c r="J11" s="16">
        <f>0-I11</f>
        <v>0</v>
      </c>
      <c r="K11" s="16">
        <f>0-J11-I11</f>
        <v>0</v>
      </c>
      <c r="L11" s="101">
        <f>0-K11-J11-I11</f>
        <v>0</v>
      </c>
      <c r="M11" s="17">
        <f t="shared" si="7"/>
        <v>0</v>
      </c>
      <c r="N11" s="16">
        <v>0</v>
      </c>
      <c r="O11" s="16">
        <f>0-N11</f>
        <v>0</v>
      </c>
      <c r="P11" s="16">
        <f>0-O11-N11</f>
        <v>0</v>
      </c>
      <c r="Q11" s="101">
        <f>-864.5-P11-O11-N11</f>
        <v>-864.5</v>
      </c>
      <c r="R11" s="17">
        <f t="shared" si="8"/>
        <v>-864.5</v>
      </c>
      <c r="S11" s="16">
        <v>0</v>
      </c>
      <c r="T11" s="16">
        <f>0-S11</f>
        <v>0</v>
      </c>
      <c r="U11" s="16">
        <f t="shared" ref="U11" si="14">0-T11-S11</f>
        <v>0</v>
      </c>
      <c r="V11" s="16">
        <v>0</v>
      </c>
      <c r="W11" s="17">
        <f t="shared" si="0"/>
        <v>0</v>
      </c>
      <c r="X11" s="16">
        <v>0</v>
      </c>
      <c r="Y11" s="16">
        <v>0</v>
      </c>
      <c r="Z11" s="16">
        <v>0</v>
      </c>
      <c r="AA11" s="16">
        <v>0</v>
      </c>
      <c r="AB11" s="17">
        <f t="shared" si="9"/>
        <v>0</v>
      </c>
      <c r="AC11" s="16">
        <v>0</v>
      </c>
      <c r="AD11" s="16">
        <v>0</v>
      </c>
      <c r="AE11" s="16">
        <v>0</v>
      </c>
      <c r="AF11" s="16">
        <v>0</v>
      </c>
      <c r="AG11" s="17">
        <f t="shared" si="10"/>
        <v>0</v>
      </c>
      <c r="AH11" s="16">
        <v>0</v>
      </c>
      <c r="AI11" s="16">
        <v>0</v>
      </c>
      <c r="AJ11" s="16">
        <v>0</v>
      </c>
      <c r="AK11" s="16">
        <v>0</v>
      </c>
      <c r="AL11" s="17">
        <f t="shared" si="11"/>
        <v>0</v>
      </c>
      <c r="AM11" s="16">
        <v>0</v>
      </c>
      <c r="AN11" s="16">
        <v>0</v>
      </c>
      <c r="AO11" s="16">
        <v>0</v>
      </c>
      <c r="AP11" s="16">
        <v>0</v>
      </c>
      <c r="AQ11" s="17">
        <f t="shared" si="12"/>
        <v>0</v>
      </c>
      <c r="AR11" s="16">
        <v>0</v>
      </c>
      <c r="AS11" s="16">
        <v>0</v>
      </c>
      <c r="AT11" s="16">
        <v>0</v>
      </c>
      <c r="AU11" s="16">
        <v>0</v>
      </c>
      <c r="AV11" s="17">
        <f t="shared" si="13"/>
        <v>0</v>
      </c>
    </row>
    <row r="12" spans="2:48" outlineLevel="1" x14ac:dyDescent="0.3">
      <c r="B12" s="308" t="s">
        <v>274</v>
      </c>
      <c r="C12" s="44"/>
      <c r="D12" s="16">
        <v>97.3</v>
      </c>
      <c r="E12" s="16">
        <f>192.1-D12</f>
        <v>94.8</v>
      </c>
      <c r="F12" s="16">
        <f>255.4-E12-D12</f>
        <v>63.300000000000026</v>
      </c>
      <c r="G12" s="101">
        <f>308-F12-E12-D12</f>
        <v>52.59999999999998</v>
      </c>
      <c r="H12" s="17">
        <f t="shared" si="6"/>
        <v>308</v>
      </c>
      <c r="I12" s="16">
        <v>90.3</v>
      </c>
      <c r="J12" s="16">
        <f>146.6-I12</f>
        <v>56.3</v>
      </c>
      <c r="K12" s="16">
        <f>188-J12-I12</f>
        <v>41.399999999999991</v>
      </c>
      <c r="L12" s="101">
        <f>248.6-K12-J12-I12</f>
        <v>60.59999999999998</v>
      </c>
      <c r="M12" s="17">
        <f t="shared" si="7"/>
        <v>248.59999999999997</v>
      </c>
      <c r="N12" s="16">
        <v>99.3</v>
      </c>
      <c r="O12" s="16">
        <f>175.3-N12</f>
        <v>76.000000000000014</v>
      </c>
      <c r="P12" s="16">
        <f>255.3-O12-N12</f>
        <v>80.000000000000014</v>
      </c>
      <c r="Q12" s="101">
        <f>319.1-P12-O12-N12</f>
        <v>63.800000000000026</v>
      </c>
      <c r="R12" s="17">
        <f t="shared" si="8"/>
        <v>319.10000000000002</v>
      </c>
      <c r="S12" s="16">
        <v>95.8</v>
      </c>
      <c r="T12" s="16">
        <f>149.2-S12</f>
        <v>53.399999999999991</v>
      </c>
      <c r="U12" s="16">
        <f>206.6-T12-S12</f>
        <v>57.399999999999991</v>
      </c>
      <c r="V12" s="16">
        <f>'IS (Base-Case)'!V8*V53</f>
        <v>69.964664787652922</v>
      </c>
      <c r="W12" s="17">
        <f t="shared" si="0"/>
        <v>276.56466478765287</v>
      </c>
      <c r="X12" s="16">
        <f>'IS (Base-Case)'!X8*X53</f>
        <v>74.500596857055086</v>
      </c>
      <c r="Y12" s="16">
        <f>'IS (Base-Case)'!Y8*Y53</f>
        <v>65.198665506355923</v>
      </c>
      <c r="Z12" s="16">
        <f>'IS (Base-Case)'!Z8*Z53</f>
        <v>73.176438384221598</v>
      </c>
      <c r="AA12" s="16">
        <f>'IS (Base-Case)'!AA8*AA53</f>
        <v>76.99406692963656</v>
      </c>
      <c r="AB12" s="17">
        <f t="shared" si="9"/>
        <v>289.86976767726918</v>
      </c>
      <c r="AC12" s="16">
        <f>'IS (Base-Case)'!AC8*AC53</f>
        <v>79.147177393420236</v>
      </c>
      <c r="AD12" s="16">
        <f>'IS (Base-Case)'!AD8*AD53</f>
        <v>73.759187719512198</v>
      </c>
      <c r="AE12" s="16">
        <f>'IS (Base-Case)'!AE8*AE53</f>
        <v>81.457077993814693</v>
      </c>
      <c r="AF12" s="16">
        <f>'IS (Base-Case)'!AF8*AF53</f>
        <v>83.846530958848987</v>
      </c>
      <c r="AG12" s="17">
        <f t="shared" si="10"/>
        <v>318.2099740655961</v>
      </c>
      <c r="AH12" s="16">
        <f>'IS (Base-Case)'!AH8*AH53</f>
        <v>87.727634522356112</v>
      </c>
      <c r="AI12" s="16">
        <f>'IS (Base-Case)'!AI8*AI53</f>
        <v>82.752156081540846</v>
      </c>
      <c r="AJ12" s="16">
        <f>'IS (Base-Case)'!AJ8*AJ53</f>
        <v>90.907008537366281</v>
      </c>
      <c r="AK12" s="16">
        <f>'IS (Base-Case)'!AK8*AK53</f>
        <v>93.466833723848723</v>
      </c>
      <c r="AL12" s="17">
        <f t="shared" si="11"/>
        <v>354.85363286511193</v>
      </c>
      <c r="AM12" s="16">
        <f>'IS (Base-Case)'!AM8*AM53</f>
        <v>96.484464802490663</v>
      </c>
      <c r="AN12" s="16">
        <f>'IS (Base-Case)'!AN8*AN53</f>
        <v>90.684872500253007</v>
      </c>
      <c r="AO12" s="16">
        <f>'IS (Base-Case)'!AO8*AO53</f>
        <v>99.121174116546584</v>
      </c>
      <c r="AP12" s="16">
        <f>'IS (Base-Case)'!AP8*AP53</f>
        <v>101.58165837586701</v>
      </c>
      <c r="AQ12" s="17">
        <f t="shared" si="12"/>
        <v>387.87216979515722</v>
      </c>
      <c r="AR12" s="16">
        <f>'IS (Base-Case)'!AR8*AR53</f>
        <v>102.76941481176389</v>
      </c>
      <c r="AS12" s="16">
        <f>'IS (Base-Case)'!AS8*AS53</f>
        <v>96.530864617637349</v>
      </c>
      <c r="AT12" s="16">
        <f>'IS (Base-Case)'!AT8*AT53</f>
        <v>105.4619220369474</v>
      </c>
      <c r="AU12" s="16">
        <f>'IS (Base-Case)'!AU8*AU53</f>
        <v>108.11259059057532</v>
      </c>
      <c r="AV12" s="17">
        <f t="shared" si="13"/>
        <v>412.87479205692398</v>
      </c>
    </row>
    <row r="13" spans="2:48" outlineLevel="1" x14ac:dyDescent="0.3">
      <c r="B13" s="319" t="s">
        <v>275</v>
      </c>
      <c r="C13" s="320"/>
      <c r="D13" s="16">
        <v>6.1</v>
      </c>
      <c r="E13" s="101">
        <f>5.4+91.1-D13</f>
        <v>90.4</v>
      </c>
      <c r="F13" s="101">
        <f>10.5+122.3-E13-D13</f>
        <v>36.300000000000004</v>
      </c>
      <c r="G13" s="101">
        <f>10.5+187.9-F13-E13-D13</f>
        <v>65.599999999999994</v>
      </c>
      <c r="H13" s="17">
        <f t="shared" si="6"/>
        <v>198.4</v>
      </c>
      <c r="I13" s="101">
        <f>5.1+294.9</f>
        <v>300</v>
      </c>
      <c r="J13" s="101">
        <f>596.3+67.7-I13</f>
        <v>364</v>
      </c>
      <c r="K13" s="101">
        <f>902.4+124.6+63.7-J13-I13</f>
        <v>426.70000000000005</v>
      </c>
      <c r="L13" s="101">
        <f>1197.6+454.4+24.5-K13-J13-I13</f>
        <v>585.79999999999995</v>
      </c>
      <c r="M13" s="17">
        <f t="shared" si="7"/>
        <v>1676.5</v>
      </c>
      <c r="N13" s="101">
        <f>308.3+132.6-10.2</f>
        <v>430.7</v>
      </c>
      <c r="O13" s="101">
        <f>617.9+175.4-15.4-N13</f>
        <v>347.2</v>
      </c>
      <c r="P13" s="101">
        <f>931.7+204.7-6.8-O13-N13</f>
        <v>351.7000000000001</v>
      </c>
      <c r="Q13" s="101">
        <f>1248.6+226.2-6-P13-O13-N13</f>
        <v>339.19999999999987</v>
      </c>
      <c r="R13" s="17">
        <f t="shared" si="8"/>
        <v>1468.8</v>
      </c>
      <c r="S13" s="101">
        <v>0</v>
      </c>
      <c r="T13" s="101">
        <f>0-S13</f>
        <v>0</v>
      </c>
      <c r="U13" s="101">
        <f>1090.4+89.6-44.7</f>
        <v>1135.3</v>
      </c>
      <c r="V13" s="33">
        <v>0</v>
      </c>
      <c r="W13" s="17">
        <f t="shared" si="0"/>
        <v>1135.3</v>
      </c>
      <c r="X13" s="33">
        <v>0</v>
      </c>
      <c r="Y13" s="33">
        <v>0</v>
      </c>
      <c r="Z13" s="33">
        <v>0</v>
      </c>
      <c r="AA13" s="33">
        <v>0</v>
      </c>
      <c r="AB13" s="17">
        <f t="shared" si="9"/>
        <v>0</v>
      </c>
      <c r="AC13" s="33">
        <v>0</v>
      </c>
      <c r="AD13" s="33">
        <v>0</v>
      </c>
      <c r="AE13" s="33">
        <v>0</v>
      </c>
      <c r="AF13" s="33">
        <v>0</v>
      </c>
      <c r="AG13" s="17">
        <f t="shared" si="10"/>
        <v>0</v>
      </c>
      <c r="AH13" s="33">
        <v>0</v>
      </c>
      <c r="AI13" s="33">
        <v>0</v>
      </c>
      <c r="AJ13" s="33">
        <v>0</v>
      </c>
      <c r="AK13" s="33">
        <v>0</v>
      </c>
      <c r="AL13" s="17">
        <f t="shared" si="11"/>
        <v>0</v>
      </c>
      <c r="AM13" s="33">
        <v>0</v>
      </c>
      <c r="AN13" s="33">
        <v>0</v>
      </c>
      <c r="AO13" s="33">
        <v>0</v>
      </c>
      <c r="AP13" s="33">
        <v>0</v>
      </c>
      <c r="AQ13" s="17">
        <f t="shared" si="12"/>
        <v>0</v>
      </c>
      <c r="AR13" s="33">
        <v>0</v>
      </c>
      <c r="AS13" s="33">
        <v>0</v>
      </c>
      <c r="AT13" s="33">
        <v>0</v>
      </c>
      <c r="AU13" s="33">
        <v>0</v>
      </c>
      <c r="AV13" s="17">
        <f t="shared" si="13"/>
        <v>0</v>
      </c>
    </row>
    <row r="14" spans="2:48" outlineLevel="1" x14ac:dyDescent="0.3">
      <c r="B14" s="489" t="s">
        <v>276</v>
      </c>
      <c r="C14" s="490"/>
      <c r="D14" s="321"/>
      <c r="E14" s="322"/>
      <c r="F14" s="323"/>
      <c r="G14" s="323"/>
      <c r="H14" s="324"/>
      <c r="I14" s="323"/>
      <c r="J14" s="323"/>
      <c r="K14" s="323"/>
      <c r="L14" s="323"/>
      <c r="M14" s="324"/>
      <c r="N14" s="323"/>
      <c r="O14" s="323"/>
      <c r="P14" s="323"/>
      <c r="Q14" s="323"/>
      <c r="R14" s="324"/>
      <c r="S14" s="323"/>
      <c r="T14" s="323"/>
      <c r="U14" s="323"/>
      <c r="V14" s="323"/>
      <c r="W14" s="324"/>
      <c r="X14" s="323"/>
      <c r="Y14" s="323"/>
      <c r="Z14" s="323"/>
      <c r="AA14" s="323"/>
      <c r="AB14" s="324"/>
      <c r="AC14" s="323"/>
      <c r="AD14" s="323"/>
      <c r="AE14" s="323"/>
      <c r="AF14" s="323"/>
      <c r="AG14" s="324"/>
      <c r="AH14" s="323"/>
      <c r="AI14" s="323"/>
      <c r="AJ14" s="323"/>
      <c r="AK14" s="323"/>
      <c r="AL14" s="324"/>
      <c r="AM14" s="323"/>
      <c r="AN14" s="323"/>
      <c r="AO14" s="323"/>
      <c r="AP14" s="323"/>
      <c r="AQ14" s="324"/>
      <c r="AR14" s="323"/>
      <c r="AS14" s="323"/>
      <c r="AT14" s="323"/>
      <c r="AU14" s="323"/>
      <c r="AV14" s="324"/>
    </row>
    <row r="15" spans="2:48" outlineLevel="1" x14ac:dyDescent="0.3">
      <c r="B15" s="485" t="s">
        <v>277</v>
      </c>
      <c r="C15" s="486"/>
      <c r="D15" s="327">
        <v>-28.8</v>
      </c>
      <c r="E15" s="327">
        <f>9.8-D15</f>
        <v>38.6</v>
      </c>
      <c r="F15" s="327">
        <f>-70.1-E15-D15</f>
        <v>-79.899999999999991</v>
      </c>
      <c r="G15" s="327">
        <f>-197.7-F15-E15-D15</f>
        <v>-127.60000000000001</v>
      </c>
      <c r="H15" s="328">
        <f t="shared" ref="H15:H21" si="15">SUM(D15:G15)</f>
        <v>-197.7</v>
      </c>
      <c r="I15" s="327">
        <v>-22.9</v>
      </c>
      <c r="J15" s="327">
        <f>-60.7-I15</f>
        <v>-37.800000000000004</v>
      </c>
      <c r="K15" s="327">
        <f>13.4-J15-I15</f>
        <v>74.099999999999994</v>
      </c>
      <c r="L15" s="327">
        <f>-2.7-K15-J15-I15</f>
        <v>-16.099999999999994</v>
      </c>
      <c r="M15" s="328">
        <f t="shared" ref="M15:M21" si="16">SUM(I15:L15)</f>
        <v>-2.7000000000000028</v>
      </c>
      <c r="N15" s="327">
        <v>19.600000000000001</v>
      </c>
      <c r="O15" s="327">
        <f>12.8-N15</f>
        <v>-6.8000000000000007</v>
      </c>
      <c r="P15" s="327">
        <f>-13.1-O15-N15</f>
        <v>-25.9</v>
      </c>
      <c r="Q15" s="327">
        <f>-43-P15-O15-N15</f>
        <v>-29.900000000000002</v>
      </c>
      <c r="R15" s="328">
        <f t="shared" ref="R15:R21" si="17">SUM(N15:Q15)</f>
        <v>-43</v>
      </c>
      <c r="S15" s="327">
        <v>-91.6</v>
      </c>
      <c r="T15" s="327">
        <f>-62.1-S15</f>
        <v>29.499999999999993</v>
      </c>
      <c r="U15" s="327">
        <f>-245.5-T15-S15</f>
        <v>-183.4</v>
      </c>
      <c r="V15" s="327">
        <f>-('BS (Base-Case)'!V8-'BS (Base-Case)'!U8)</f>
        <v>81.947992724675032</v>
      </c>
      <c r="W15" s="328">
        <f t="shared" ref="W15:W21" si="18">SUM(S15:V15)</f>
        <v>-163.55200727532497</v>
      </c>
      <c r="X15" s="327">
        <f>-('BS (Base-Case)'!X8-'BS (Base-Case)'!V8)</f>
        <v>-55.610602128540677</v>
      </c>
      <c r="Y15" s="327">
        <f>-('BS (Base-Case)'!Y8-'BS (Base-Case)'!X8)</f>
        <v>-47.641630315567227</v>
      </c>
      <c r="Z15" s="327">
        <f>-('BS (Base-Case)'!Z8-'BS (Base-Case)'!Y8)</f>
        <v>-202.30878876819224</v>
      </c>
      <c r="AA15" s="327">
        <f>-('BS (Base-Case)'!AA8-'BS (Base-Case)'!Z8)</f>
        <v>168.64026072464071</v>
      </c>
      <c r="AB15" s="328">
        <f t="shared" ref="AB15:AB21" si="19">SUM(X15:AA15)</f>
        <v>-136.92076048765944</v>
      </c>
      <c r="AC15" s="327">
        <f>-('BS (Base-Case)'!AC8-'BS (Base-Case)'!AA8)</f>
        <v>-60.676017205583548</v>
      </c>
      <c r="AD15" s="327">
        <f>-('BS (Base-Case)'!AD8-'BS (Base-Case)'!AC8)</f>
        <v>28.138516975505127</v>
      </c>
      <c r="AE15" s="327">
        <f>-('BS (Base-Case)'!AE8-'BS (Base-Case)'!AD8)</f>
        <v>-139.15017764151003</v>
      </c>
      <c r="AF15" s="327">
        <f>-('BS (Base-Case)'!AF8-'BS (Base-Case)'!AE8)</f>
        <v>94.064754570011473</v>
      </c>
      <c r="AG15" s="328">
        <f t="shared" ref="AG15:AG21" si="20">SUM(AC15:AF15)</f>
        <v>-77.622923301576975</v>
      </c>
      <c r="AH15" s="327">
        <f>-('BS (Base-Case)'!AH8-'BS (Base-Case)'!AF8)</f>
        <v>-121.44331289662068</v>
      </c>
      <c r="AI15" s="327">
        <f>-('BS (Base-Case)'!AI8-'BS (Base-Case)'!AH8)</f>
        <v>18.418826250513348</v>
      </c>
      <c r="AJ15" s="327">
        <f>-('BS (Base-Case)'!AJ8-'BS (Base-Case)'!AI8)</f>
        <v>-212.49332660922414</v>
      </c>
      <c r="AK15" s="327">
        <f>-('BS (Base-Case)'!AK8-'BS (Base-Case)'!AJ8)</f>
        <v>130.78402029181757</v>
      </c>
      <c r="AL15" s="328">
        <f t="shared" ref="AL15:AL21" si="21">SUM(AH15:AK15)</f>
        <v>-184.73379296351391</v>
      </c>
      <c r="AM15" s="327">
        <f>-('BS (Base-Case)'!AM8-'BS (Base-Case)'!AK8)</f>
        <v>-80.358458903846667</v>
      </c>
      <c r="AN15" s="327">
        <f>-('BS (Base-Case)'!AN8-'BS (Base-Case)'!AM8)</f>
        <v>17.955124230011052</v>
      </c>
      <c r="AO15" s="327">
        <f>-('BS (Base-Case)'!AO8-'BS (Base-Case)'!AN8)</f>
        <v>-217.18976233464264</v>
      </c>
      <c r="AP15" s="327">
        <f>-('BS (Base-Case)'!AP8-'BS (Base-Case)'!AO8)</f>
        <v>159.51159829116364</v>
      </c>
      <c r="AQ15" s="328">
        <f t="shared" ref="AQ15:AQ21" si="22">SUM(AM15:AP15)</f>
        <v>-120.08149871731462</v>
      </c>
      <c r="AR15" s="327">
        <f>-('BS (Base-Case)'!AR8-'BS (Base-Case)'!AP8)</f>
        <v>-60.943817533797073</v>
      </c>
      <c r="AS15" s="327">
        <f>-('BS (Base-Case)'!AS8-'BS (Base-Case)'!AR8)</f>
        <v>32.897915351049051</v>
      </c>
      <c r="AT15" s="327">
        <f>-('BS (Base-Case)'!AT8-'BS (Base-Case)'!AS8)</f>
        <v>-214.67816604780023</v>
      </c>
      <c r="AU15" s="327">
        <f>-('BS (Base-Case)'!AU8-'BS (Base-Case)'!AT8)</f>
        <v>148.91455693651801</v>
      </c>
      <c r="AV15" s="328">
        <f t="shared" ref="AV15:AV21" si="23">SUM(AR15:AU15)</f>
        <v>-93.809511294030244</v>
      </c>
    </row>
    <row r="16" spans="2:48" outlineLevel="1" x14ac:dyDescent="0.3">
      <c r="B16" s="325" t="s">
        <v>216</v>
      </c>
      <c r="C16" s="326"/>
      <c r="D16" s="327">
        <v>44.8</v>
      </c>
      <c r="E16" s="327">
        <f>-51-D16</f>
        <v>-95.8</v>
      </c>
      <c r="F16" s="327">
        <f>-140.5-E16-D16</f>
        <v>-89.5</v>
      </c>
      <c r="G16" s="327">
        <f>-173-F16-E16-D16</f>
        <v>-32.5</v>
      </c>
      <c r="H16" s="328">
        <f t="shared" si="15"/>
        <v>-173</v>
      </c>
      <c r="I16" s="327">
        <v>122.8</v>
      </c>
      <c r="J16" s="327">
        <f>36.9-I16</f>
        <v>-85.9</v>
      </c>
      <c r="K16" s="327">
        <f>-51.7-J16-I16</f>
        <v>-88.6</v>
      </c>
      <c r="L16" s="327">
        <f>-10.9-K16-J16-I16</f>
        <v>40.799999999999997</v>
      </c>
      <c r="M16" s="328">
        <f t="shared" si="16"/>
        <v>-10.900000000000006</v>
      </c>
      <c r="N16" s="327">
        <v>90.1</v>
      </c>
      <c r="O16" s="327">
        <f>51.3-N16</f>
        <v>-38.799999999999997</v>
      </c>
      <c r="P16" s="327">
        <f>8.4-O16-N16</f>
        <v>-42.9</v>
      </c>
      <c r="Q16" s="327">
        <f>-49.8-P16-O16-N16</f>
        <v>-58.199999999999996</v>
      </c>
      <c r="R16" s="328">
        <f t="shared" si="17"/>
        <v>-49.8</v>
      </c>
      <c r="S16" s="327">
        <v>-36</v>
      </c>
      <c r="T16" s="327">
        <f>-324.9-S16</f>
        <v>-288.89999999999998</v>
      </c>
      <c r="U16" s="327">
        <f>-557.3-T16-S16</f>
        <v>-232.39999999999998</v>
      </c>
      <c r="V16" s="327">
        <f>-('BS (Base-Case)'!V9-'BS (Base-Case)'!U9)</f>
        <v>230.17685105161627</v>
      </c>
      <c r="W16" s="328">
        <f t="shared" si="18"/>
        <v>-327.12314894838369</v>
      </c>
      <c r="X16" s="327">
        <f>-('BS (Base-Case)'!X9-'BS (Base-Case)'!V9)</f>
        <v>50.968836132077286</v>
      </c>
      <c r="Y16" s="327">
        <f>-('BS (Base-Case)'!Y9-'BS (Base-Case)'!X9)</f>
        <v>-198.34437961405547</v>
      </c>
      <c r="Z16" s="327">
        <f>-('BS (Base-Case)'!Z9-'BS (Base-Case)'!Y9)</f>
        <v>-418.66248602383303</v>
      </c>
      <c r="AA16" s="327">
        <f>-('BS (Base-Case)'!AA9-'BS (Base-Case)'!Z9)</f>
        <v>378.81019356275965</v>
      </c>
      <c r="AB16" s="328">
        <f t="shared" si="19"/>
        <v>-187.22783594305156</v>
      </c>
      <c r="AC16" s="327">
        <f>-('BS (Base-Case)'!AC9-'BS (Base-Case)'!AA9)</f>
        <v>49.022620696068316</v>
      </c>
      <c r="AD16" s="327">
        <f>-('BS (Base-Case)'!AD9-'BS (Base-Case)'!AC9)</f>
        <v>-177.29332688166505</v>
      </c>
      <c r="AE16" s="327">
        <f>-('BS (Base-Case)'!AE9-'BS (Base-Case)'!AD9)</f>
        <v>-291.93166011439507</v>
      </c>
      <c r="AF16" s="327">
        <f>-('BS (Base-Case)'!AF9-'BS (Base-Case)'!AE9)</f>
        <v>235.89924009949391</v>
      </c>
      <c r="AG16" s="328">
        <f t="shared" si="20"/>
        <v>-184.3031262004979</v>
      </c>
      <c r="AH16" s="327">
        <f>-('BS (Base-Case)'!AH9-'BS (Base-Case)'!AF9)</f>
        <v>57.595713526479813</v>
      </c>
      <c r="AI16" s="327">
        <f>-('BS (Base-Case)'!AI9-'BS (Base-Case)'!AH9)</f>
        <v>-245.91331939683914</v>
      </c>
      <c r="AJ16" s="327">
        <f>-('BS (Base-Case)'!AJ9-'BS (Base-Case)'!AI9)</f>
        <v>-402.07896124089893</v>
      </c>
      <c r="AK16" s="327">
        <f>-('BS (Base-Case)'!AK9-'BS (Base-Case)'!AJ9)</f>
        <v>283.77054281896744</v>
      </c>
      <c r="AL16" s="328">
        <f t="shared" si="21"/>
        <v>-306.62602429229082</v>
      </c>
      <c r="AM16" s="327">
        <f>-('BS (Base-Case)'!AM9-'BS (Base-Case)'!AK9)</f>
        <v>128.89334725752315</v>
      </c>
      <c r="AN16" s="327">
        <f>-('BS (Base-Case)'!AN9-'BS (Base-Case)'!AM9)</f>
        <v>-222.49768997264346</v>
      </c>
      <c r="AO16" s="327">
        <f>-('BS (Base-Case)'!AO9-'BS (Base-Case)'!AN9)</f>
        <v>-434.94924390666256</v>
      </c>
      <c r="AP16" s="327">
        <f>-('BS (Base-Case)'!AP9-'BS (Base-Case)'!AO9)</f>
        <v>320.90131179469972</v>
      </c>
      <c r="AQ16" s="328">
        <f t="shared" si="22"/>
        <v>-207.65227482708315</v>
      </c>
      <c r="AR16" s="327">
        <f>-('BS (Base-Case)'!AR9-'BS (Base-Case)'!AP9)</f>
        <v>176.15380559137566</v>
      </c>
      <c r="AS16" s="327">
        <f>-('BS (Base-Case)'!AS9-'BS (Base-Case)'!AR9)</f>
        <v>-234.21112185295533</v>
      </c>
      <c r="AT16" s="327">
        <f>-('BS (Base-Case)'!AT9-'BS (Base-Case)'!AS9)</f>
        <v>-420.61642400330174</v>
      </c>
      <c r="AU16" s="327">
        <f>-('BS (Base-Case)'!AU9-'BS (Base-Case)'!AT9)</f>
        <v>316.91088076407641</v>
      </c>
      <c r="AV16" s="328">
        <f t="shared" si="23"/>
        <v>-161.76285950080501</v>
      </c>
    </row>
    <row r="17" spans="2:48" outlineLevel="1" x14ac:dyDescent="0.3">
      <c r="B17" s="485" t="s">
        <v>278</v>
      </c>
      <c r="C17" s="486"/>
      <c r="D17" s="327">
        <v>847.3</v>
      </c>
      <c r="E17" s="327">
        <f>774.6-D17</f>
        <v>-72.699999999999932</v>
      </c>
      <c r="F17" s="327">
        <f>831.6-E17-D17</f>
        <v>57</v>
      </c>
      <c r="G17" s="327">
        <f>922-F17-E17-D17</f>
        <v>90.399999999999977</v>
      </c>
      <c r="H17" s="328">
        <f t="shared" si="15"/>
        <v>922</v>
      </c>
      <c r="I17" s="327">
        <v>-28.5</v>
      </c>
      <c r="J17" s="327">
        <f>-247.7-I17</f>
        <v>-219.2</v>
      </c>
      <c r="K17" s="327">
        <f>-492.1-J17-I17</f>
        <v>-244.40000000000003</v>
      </c>
      <c r="L17" s="327">
        <f>-317.5-K17-J17-I17</f>
        <v>174.60000000000002</v>
      </c>
      <c r="M17" s="328">
        <f t="shared" si="16"/>
        <v>-317.5</v>
      </c>
      <c r="N17" s="327">
        <v>5.2</v>
      </c>
      <c r="O17" s="327">
        <f>139.7-N17</f>
        <v>134.5</v>
      </c>
      <c r="P17" s="327">
        <f>216.8-O17-N17</f>
        <v>77.100000000000009</v>
      </c>
      <c r="Q17" s="327">
        <f>251.1-P17-O17-N17</f>
        <v>34.299999999999997</v>
      </c>
      <c r="R17" s="328">
        <f t="shared" si="17"/>
        <v>251.10000000000002</v>
      </c>
      <c r="S17" s="327">
        <f>64.6+330.4+50.7-4.9</f>
        <v>440.8</v>
      </c>
      <c r="T17" s="327">
        <f>-120.7+670.7+77.3-17.9-S17</f>
        <v>168.59999999999997</v>
      </c>
      <c r="U17" s="327">
        <f t="shared" ref="U17:U20" si="24">0-T17-S17</f>
        <v>-609.4</v>
      </c>
      <c r="V17" s="327">
        <f>-('BS (Base-Case)'!V10-'BS (Base-Case)'!U10)</f>
        <v>-5.3410000000000082</v>
      </c>
      <c r="W17" s="328">
        <f t="shared" si="18"/>
        <v>-5.3410000000000082</v>
      </c>
      <c r="X17" s="327">
        <f>-('BS (Base-Case)'!X10-'BS (Base-Case)'!V10)</f>
        <v>-5.3944099999999935</v>
      </c>
      <c r="Y17" s="327">
        <f>-('BS (Base-Case)'!Y10-'BS (Base-Case)'!X10)</f>
        <v>-5.4483540999999605</v>
      </c>
      <c r="Z17" s="327">
        <f>-('BS (Base-Case)'!Z10-'BS (Base-Case)'!Y10)</f>
        <v>-5.5028376410000419</v>
      </c>
      <c r="AA17" s="327">
        <f>-('BS (Base-Case)'!AA10-'BS (Base-Case)'!Z10)</f>
        <v>-5.5578660174099923</v>
      </c>
      <c r="AB17" s="328">
        <f t="shared" si="19"/>
        <v>-21.903467758409988</v>
      </c>
      <c r="AC17" s="327">
        <f>-('BS (Base-Case)'!AC10-'BS (Base-Case)'!AA10)</f>
        <v>-5.6134446775840843</v>
      </c>
      <c r="AD17" s="327">
        <f>-('BS (Base-Case)'!AD10-'BS (Base-Case)'!AC10)</f>
        <v>-5.6695791243599842</v>
      </c>
      <c r="AE17" s="327">
        <f>-('BS (Base-Case)'!AE10-'BS (Base-Case)'!AD10)</f>
        <v>-5.7262749156035397</v>
      </c>
      <c r="AF17" s="327">
        <f>-('BS (Base-Case)'!AF10-'BS (Base-Case)'!AE10)</f>
        <v>-5.7835376647595922</v>
      </c>
      <c r="AG17" s="328">
        <f t="shared" si="20"/>
        <v>-22.7928363823072</v>
      </c>
      <c r="AH17" s="327">
        <f>-('BS (Base-Case)'!AH10-'BS (Base-Case)'!AF10)</f>
        <v>-5.8413730414072234</v>
      </c>
      <c r="AI17" s="327">
        <f>-('BS (Base-Case)'!AI10-'BS (Base-Case)'!AH10)</f>
        <v>-5.8997867718212547</v>
      </c>
      <c r="AJ17" s="327">
        <f>-('BS (Base-Case)'!AJ10-'BS (Base-Case)'!AI10)</f>
        <v>-5.9587846395394308</v>
      </c>
      <c r="AK17" s="327">
        <f>-('BS (Base-Case)'!AK10-'BS (Base-Case)'!AJ10)</f>
        <v>-6.0183724859348331</v>
      </c>
      <c r="AL17" s="328">
        <f t="shared" si="21"/>
        <v>-23.718316938702742</v>
      </c>
      <c r="AM17" s="327">
        <f>-('BS (Base-Case)'!AM10-'BS (Base-Case)'!AK10)</f>
        <v>-6.0785562107942042</v>
      </c>
      <c r="AN17" s="327">
        <f>-('BS (Base-Case)'!AN10-'BS (Base-Case)'!AM10)</f>
        <v>-6.1393417729021849</v>
      </c>
      <c r="AO17" s="327">
        <f>-('BS (Base-Case)'!AO10-'BS (Base-Case)'!AN10)</f>
        <v>-6.2007351906311214</v>
      </c>
      <c r="AP17" s="327">
        <f>-('BS (Base-Case)'!AP10-'BS (Base-Case)'!AO10)</f>
        <v>-6.2627425425374668</v>
      </c>
      <c r="AQ17" s="328">
        <f t="shared" si="22"/>
        <v>-24.681375716864977</v>
      </c>
      <c r="AR17" s="327">
        <f>-('BS (Base-Case)'!AR10-'BS (Base-Case)'!AP10)</f>
        <v>-6.3253699679628426</v>
      </c>
      <c r="AS17" s="327">
        <f>-('BS (Base-Case)'!AS10-'BS (Base-Case)'!AR10)</f>
        <v>-6.3886236676424915</v>
      </c>
      <c r="AT17" s="327">
        <f>-('BS (Base-Case)'!AT10-'BS (Base-Case)'!AS10)</f>
        <v>-6.4525099043189584</v>
      </c>
      <c r="AU17" s="327">
        <f>-('BS (Base-Case)'!AU10-'BS (Base-Case)'!AT10)</f>
        <v>-6.5170350033621389</v>
      </c>
      <c r="AV17" s="328">
        <f t="shared" si="23"/>
        <v>-25.683538543286431</v>
      </c>
    </row>
    <row r="18" spans="2:48" outlineLevel="1" x14ac:dyDescent="0.3">
      <c r="B18" s="485" t="s">
        <v>229</v>
      </c>
      <c r="C18" s="486"/>
      <c r="D18" s="327">
        <v>-21.3</v>
      </c>
      <c r="E18" s="327">
        <f>-83.4-D18</f>
        <v>-62.100000000000009</v>
      </c>
      <c r="F18" s="327">
        <f>-15.1-E18-D18</f>
        <v>68.300000000000011</v>
      </c>
      <c r="G18" s="327">
        <f>31.9-F18-E18-D18</f>
        <v>47</v>
      </c>
      <c r="H18" s="328">
        <f t="shared" si="15"/>
        <v>31.900000000000006</v>
      </c>
      <c r="I18" s="327">
        <v>-110.3</v>
      </c>
      <c r="J18" s="327">
        <f>-186.4-I18</f>
        <v>-76.100000000000009</v>
      </c>
      <c r="K18" s="327">
        <f>-320.3-J18-I18</f>
        <v>-133.89999999999998</v>
      </c>
      <c r="L18" s="327">
        <f>-210.8-K18-J18-I18</f>
        <v>109.49999999999997</v>
      </c>
      <c r="M18" s="328">
        <f t="shared" si="16"/>
        <v>-210.79999999999998</v>
      </c>
      <c r="N18" s="327">
        <v>24.8</v>
      </c>
      <c r="O18" s="327">
        <f>21.3-N18</f>
        <v>-3.5</v>
      </c>
      <c r="P18" s="327">
        <f>108.2-O18-N18</f>
        <v>86.9</v>
      </c>
      <c r="Q18" s="327">
        <f>189.9-P18-O18-N18</f>
        <v>81.7</v>
      </c>
      <c r="R18" s="328">
        <f t="shared" si="17"/>
        <v>189.9</v>
      </c>
      <c r="S18" s="327">
        <v>84</v>
      </c>
      <c r="T18" s="327">
        <f>133-S18</f>
        <v>49</v>
      </c>
      <c r="U18" s="327">
        <f>341.7-T18-S18</f>
        <v>208.7</v>
      </c>
      <c r="V18" s="327">
        <f>'BS (Base-Case)'!V22-'BS (Base-Case)'!U22</f>
        <v>-111.74786545579241</v>
      </c>
      <c r="W18" s="328">
        <f t="shared" si="18"/>
        <v>229.95213454420758</v>
      </c>
      <c r="X18" s="327">
        <f>'BS (Base-Case)'!X22-'BS (Base-Case)'!V22</f>
        <v>25.014764896827273</v>
      </c>
      <c r="Y18" s="327">
        <f>'BS (Base-Case)'!Y22-'BS (Base-Case)'!X22</f>
        <v>-3.8333167508994848</v>
      </c>
      <c r="Z18" s="327">
        <f>'BS (Base-Case)'!Z22-'BS (Base-Case)'!Y22</f>
        <v>229.9983367940149</v>
      </c>
      <c r="AA18" s="327">
        <f>'BS (Base-Case)'!AA22-'BS (Base-Case)'!Z22</f>
        <v>-149.27702804219052</v>
      </c>
      <c r="AB18" s="328">
        <f t="shared" si="19"/>
        <v>101.90275689775217</v>
      </c>
      <c r="AC18" s="327">
        <f>'BS (Base-Case)'!AC22-'BS (Base-Case)'!AA22</f>
        <v>57.225010547429974</v>
      </c>
      <c r="AD18" s="327">
        <f>'BS (Base-Case)'!AD22-'BS (Base-Case)'!AC22</f>
        <v>-12.37999998613077</v>
      </c>
      <c r="AE18" s="327">
        <f>'BS (Base-Case)'!AE22-'BS (Base-Case)'!AD22</f>
        <v>222.96911897695077</v>
      </c>
      <c r="AF18" s="327">
        <f>'BS (Base-Case)'!AF22-'BS (Base-Case)'!AE22</f>
        <v>-88.53075887466548</v>
      </c>
      <c r="AG18" s="328">
        <f t="shared" si="20"/>
        <v>179.28337066358449</v>
      </c>
      <c r="AH18" s="327">
        <f>'BS (Base-Case)'!AH22-'BS (Base-Case)'!AF22</f>
        <v>38.950283760349294</v>
      </c>
      <c r="AI18" s="327">
        <f>'BS (Base-Case)'!AI22-'BS (Base-Case)'!AH22</f>
        <v>-5.4392831069490057</v>
      </c>
      <c r="AJ18" s="327">
        <f>'BS (Base-Case)'!AJ22-'BS (Base-Case)'!AI22</f>
        <v>269.01658275997056</v>
      </c>
      <c r="AK18" s="327">
        <f>'BS (Base-Case)'!AK22-'BS (Base-Case)'!AJ22</f>
        <v>-101.90883775548923</v>
      </c>
      <c r="AL18" s="328">
        <f t="shared" si="21"/>
        <v>200.61874565788162</v>
      </c>
      <c r="AM18" s="327">
        <f>'BS (Base-Case)'!AM22-'BS (Base-Case)'!AK22</f>
        <v>1.184687747842645</v>
      </c>
      <c r="AN18" s="327">
        <f>'BS (Base-Case)'!AN22-'BS (Base-Case)'!AM22</f>
        <v>-27.005475101480897</v>
      </c>
      <c r="AO18" s="327">
        <f>'BS (Base-Case)'!AO22-'BS (Base-Case)'!AN22</f>
        <v>281.69606376357956</v>
      </c>
      <c r="AP18" s="327">
        <f>'BS (Base-Case)'!AP22-'BS (Base-Case)'!AO22</f>
        <v>-109.52634139320548</v>
      </c>
      <c r="AQ18" s="328">
        <f t="shared" si="22"/>
        <v>146.34893501673582</v>
      </c>
      <c r="AR18" s="327">
        <f>'BS (Base-Case)'!AR22-'BS (Base-Case)'!AP22</f>
        <v>-22.287725200280875</v>
      </c>
      <c r="AS18" s="327">
        <f>'BS (Base-Case)'!AS22-'BS (Base-Case)'!AR22</f>
        <v>-28.751378274335366</v>
      </c>
      <c r="AT18" s="327">
        <f>'BS (Base-Case)'!AT22-'BS (Base-Case)'!AS22</f>
        <v>290.11838658660486</v>
      </c>
      <c r="AU18" s="327">
        <f>'BS (Base-Case)'!AU22-'BS (Base-Case)'!AT22</f>
        <v>-111.54097907464939</v>
      </c>
      <c r="AV18" s="328">
        <f t="shared" si="23"/>
        <v>127.53830403733923</v>
      </c>
    </row>
    <row r="19" spans="2:48" outlineLevel="1" x14ac:dyDescent="0.3">
      <c r="B19" s="325" t="s">
        <v>234</v>
      </c>
      <c r="C19" s="326"/>
      <c r="D19" s="327">
        <v>362.7</v>
      </c>
      <c r="E19" s="327">
        <f>9.4-D19</f>
        <v>-353.3</v>
      </c>
      <c r="F19" s="327">
        <f>-32.4-E19-D19</f>
        <v>-41.799999999999955</v>
      </c>
      <c r="G19" s="327">
        <f>-30.5-F19-E19-D19</f>
        <v>1.8999999999999773</v>
      </c>
      <c r="H19" s="328">
        <f t="shared" si="15"/>
        <v>-30.5</v>
      </c>
      <c r="I19" s="327">
        <v>426.7</v>
      </c>
      <c r="J19" s="327">
        <f>112.1-I19</f>
        <v>-314.60000000000002</v>
      </c>
      <c r="K19" s="327">
        <f>92-J19-I19</f>
        <v>-20.099999999999966</v>
      </c>
      <c r="L19" s="327">
        <f>31-K19-J19-I19</f>
        <v>-61</v>
      </c>
      <c r="M19" s="328">
        <f t="shared" si="16"/>
        <v>31</v>
      </c>
      <c r="N19" s="327">
        <v>398.9</v>
      </c>
      <c r="O19" s="327">
        <f>89.8-N19</f>
        <v>-309.09999999999997</v>
      </c>
      <c r="P19" s="327">
        <f>52.4-O19-N19</f>
        <v>-37.400000000000034</v>
      </c>
      <c r="Q19" s="327">
        <f>-6.1-P19-O19-N19</f>
        <v>-58.5</v>
      </c>
      <c r="R19" s="328">
        <f t="shared" si="17"/>
        <v>-6.1000000000000227</v>
      </c>
      <c r="S19" s="327">
        <v>461.3</v>
      </c>
      <c r="T19" s="327">
        <f>110.2-S19</f>
        <v>-351.1</v>
      </c>
      <c r="U19" s="327">
        <f>32.7-T19-S19</f>
        <v>-77.5</v>
      </c>
      <c r="V19" s="327">
        <f>+('BS (Base-Case)'!V27-'BS (Base-Case)'!U27)</f>
        <v>-17.230000000000018</v>
      </c>
      <c r="W19" s="328">
        <f t="shared" si="18"/>
        <v>15.46999999999997</v>
      </c>
      <c r="X19" s="327">
        <f>+('BS (Base-Case)'!X27-'BS (Base-Case)'!V27)</f>
        <v>511.73100000000022</v>
      </c>
      <c r="Y19" s="327">
        <f>+('BS (Base-Case)'!Y27-'BS (Base-Case)'!X27)</f>
        <v>-332.62515000000008</v>
      </c>
      <c r="Z19" s="327">
        <f>+('BS (Base-Case)'!Z27-'BS (Base-Case)'!Y27)</f>
        <v>-18.848758500000031</v>
      </c>
      <c r="AA19" s="327">
        <f>+('BS (Base-Case)'!AA27-'BS (Base-Case)'!Z27)</f>
        <v>-18.660270914999955</v>
      </c>
      <c r="AB19" s="328">
        <f t="shared" si="19"/>
        <v>141.59682058500016</v>
      </c>
      <c r="AC19" s="327">
        <f>+('BS (Base-Case)'!AC27-'BS (Base-Case)'!AA27)</f>
        <v>554.21004617550011</v>
      </c>
      <c r="AD19" s="327">
        <f>+('BS (Base-Case)'!AD27-'BS (Base-Case)'!AC27)</f>
        <v>-360.23653001407502</v>
      </c>
      <c r="AE19" s="327">
        <f>+('BS (Base-Case)'!AE27-'BS (Base-Case)'!AD27)</f>
        <v>-20.413403367464298</v>
      </c>
      <c r="AF19" s="327">
        <f>+('BS (Base-Case)'!AF27-'BS (Base-Case)'!AE27)</f>
        <v>-20.209269333789734</v>
      </c>
      <c r="AG19" s="328">
        <f t="shared" si="20"/>
        <v>153.35084346017106</v>
      </c>
      <c r="AH19" s="327">
        <f>+('BS (Base-Case)'!AH27-'BS (Base-Case)'!AF27)</f>
        <v>600.21529921355159</v>
      </c>
      <c r="AI19" s="327">
        <f>+('BS (Base-Case)'!AI27-'BS (Base-Case)'!AH27)</f>
        <v>-390.1399444888084</v>
      </c>
      <c r="AJ19" s="327">
        <f>+('BS (Base-Case)'!AJ27-'BS (Base-Case)'!AI27)</f>
        <v>-22.107930187699367</v>
      </c>
      <c r="AK19" s="327">
        <f>+('BS (Base-Case)'!AK27-'BS (Base-Case)'!AJ27)</f>
        <v>-21.886850885822241</v>
      </c>
      <c r="AL19" s="328">
        <f t="shared" si="21"/>
        <v>166.08057365122158</v>
      </c>
      <c r="AM19" s="327">
        <f>+('BS (Base-Case)'!AM27-'BS (Base-Case)'!AK27)</f>
        <v>650.03947130891811</v>
      </c>
      <c r="AN19" s="327">
        <f>+('BS (Base-Case)'!AN27-'BS (Base-Case)'!AM27)</f>
        <v>-422.52565635079691</v>
      </c>
      <c r="AO19" s="327">
        <f>+('BS (Base-Case)'!AO27-'BS (Base-Case)'!AN27)</f>
        <v>-23.943120526545044</v>
      </c>
      <c r="AP19" s="327">
        <f>+('BS (Base-Case)'!AP27-'BS (Base-Case)'!AO27)</f>
        <v>-23.703689321279853</v>
      </c>
      <c r="AQ19" s="328">
        <f t="shared" si="22"/>
        <v>179.8670051102963</v>
      </c>
      <c r="AR19" s="327">
        <f>+('BS (Base-Case)'!AR27-'BS (Base-Case)'!AP27)</f>
        <v>703.99957284200673</v>
      </c>
      <c r="AS19" s="327">
        <f>+('BS (Base-Case)'!AS27-'BS (Base-Case)'!AR27)</f>
        <v>-457.59972234730458</v>
      </c>
      <c r="AT19" s="327">
        <f>+('BS (Base-Case)'!AT27-'BS (Base-Case)'!AS27)</f>
        <v>-25.930650933014022</v>
      </c>
      <c r="AU19" s="327">
        <f>+('BS (Base-Case)'!AU27-'BS (Base-Case)'!AT27)</f>
        <v>-25.671344423683877</v>
      </c>
      <c r="AV19" s="328">
        <f t="shared" si="23"/>
        <v>194.79785513800425</v>
      </c>
    </row>
    <row r="20" spans="2:48" outlineLevel="1" x14ac:dyDescent="0.3">
      <c r="B20" s="325" t="s">
        <v>279</v>
      </c>
      <c r="C20" s="326"/>
      <c r="D20" s="327">
        <v>0</v>
      </c>
      <c r="E20" s="327">
        <v>0</v>
      </c>
      <c r="F20" s="327">
        <f>1045.4-E20-D20</f>
        <v>1045.4000000000001</v>
      </c>
      <c r="G20" s="327">
        <f>1237-F20-E20-D20</f>
        <v>191.59999999999991</v>
      </c>
      <c r="H20" s="328">
        <f t="shared" si="15"/>
        <v>1237</v>
      </c>
      <c r="I20" s="327">
        <v>125.1</v>
      </c>
      <c r="J20" s="327">
        <f>-1227.4-I20</f>
        <v>-1352.5</v>
      </c>
      <c r="K20" s="327">
        <f>-1224.5-J20-I20</f>
        <v>2.9000000000000057</v>
      </c>
      <c r="L20" s="327">
        <f>-1214.6-K20-J20-I20</f>
        <v>9.9000000000000057</v>
      </c>
      <c r="M20" s="328">
        <f t="shared" si="16"/>
        <v>-1214.5999999999999</v>
      </c>
      <c r="N20" s="327">
        <v>56.9</v>
      </c>
      <c r="O20" s="327">
        <f>40-N20</f>
        <v>-16.899999999999999</v>
      </c>
      <c r="P20" s="327">
        <f>128.9-O20-N20</f>
        <v>88.9</v>
      </c>
      <c r="Q20" s="327">
        <f>286.1-P20-O20-N20</f>
        <v>157.20000000000002</v>
      </c>
      <c r="R20" s="328">
        <f t="shared" si="17"/>
        <v>286.10000000000002</v>
      </c>
      <c r="S20" s="327">
        <v>0</v>
      </c>
      <c r="T20" s="327">
        <f>0-S20</f>
        <v>0</v>
      </c>
      <c r="U20" s="327">
        <f t="shared" si="24"/>
        <v>0</v>
      </c>
      <c r="V20" s="327">
        <f>+('BS (Base-Case)'!V25-'BS (Base-Case)'!U25)</f>
        <v>0</v>
      </c>
      <c r="W20" s="328">
        <f t="shared" si="18"/>
        <v>0</v>
      </c>
      <c r="X20" s="327">
        <f>+('BS (Base-Case)'!X25-'BS (Base-Case)'!V25)</f>
        <v>0</v>
      </c>
      <c r="Y20" s="327">
        <f>+('BS (Base-Case)'!Y25-'BS (Base-Case)'!X25)</f>
        <v>0</v>
      </c>
      <c r="Z20" s="327">
        <f>+('BS (Base-Case)'!Z25-'BS (Base-Case)'!Y25)</f>
        <v>0</v>
      </c>
      <c r="AA20" s="327">
        <f>+('BS (Base-Case)'!AA25-'BS (Base-Case)'!Z25)</f>
        <v>0</v>
      </c>
      <c r="AB20" s="328">
        <f t="shared" si="19"/>
        <v>0</v>
      </c>
      <c r="AC20" s="327">
        <f>+('BS (Base-Case)'!AC25-'BS (Base-Case)'!AA25)</f>
        <v>0</v>
      </c>
      <c r="AD20" s="327">
        <f>+('BS (Base-Case)'!AD25-'BS (Base-Case)'!AC25)</f>
        <v>0</v>
      </c>
      <c r="AE20" s="327">
        <f>+('BS (Base-Case)'!AE25-'BS (Base-Case)'!AD25)</f>
        <v>0</v>
      </c>
      <c r="AF20" s="327">
        <f>+('BS (Base-Case)'!AF25-'BS (Base-Case)'!AE25)</f>
        <v>0</v>
      </c>
      <c r="AG20" s="328">
        <f t="shared" si="20"/>
        <v>0</v>
      </c>
      <c r="AH20" s="327">
        <f>+('BS (Base-Case)'!AH25-'BS (Base-Case)'!AF25)</f>
        <v>0</v>
      </c>
      <c r="AI20" s="327">
        <f>+('BS (Base-Case)'!AI25-'BS (Base-Case)'!AH25)</f>
        <v>0</v>
      </c>
      <c r="AJ20" s="327">
        <f>+('BS (Base-Case)'!AJ25-'BS (Base-Case)'!AI25)</f>
        <v>0</v>
      </c>
      <c r="AK20" s="327">
        <f>+('BS (Base-Case)'!AK25-'BS (Base-Case)'!AJ25)</f>
        <v>0</v>
      </c>
      <c r="AL20" s="328">
        <f t="shared" si="21"/>
        <v>0</v>
      </c>
      <c r="AM20" s="327">
        <f>+('BS (Base-Case)'!AM25-'BS (Base-Case)'!AK25)</f>
        <v>0</v>
      </c>
      <c r="AN20" s="327">
        <f>+('BS (Base-Case)'!AN25-'BS (Base-Case)'!AM25)</f>
        <v>0</v>
      </c>
      <c r="AO20" s="327">
        <f>+('BS (Base-Case)'!AO25-'BS (Base-Case)'!AN25)</f>
        <v>0</v>
      </c>
      <c r="AP20" s="327">
        <f>+('BS (Base-Case)'!AP25-'BS (Base-Case)'!AO25)</f>
        <v>0</v>
      </c>
      <c r="AQ20" s="328">
        <f t="shared" si="22"/>
        <v>0</v>
      </c>
      <c r="AR20" s="327">
        <f>+('BS (Base-Case)'!AR25-'BS (Base-Case)'!AP25)</f>
        <v>0</v>
      </c>
      <c r="AS20" s="327">
        <f>+('BS (Base-Case)'!AS25-'BS (Base-Case)'!AR25)</f>
        <v>0</v>
      </c>
      <c r="AT20" s="327">
        <f>+('BS (Base-Case)'!AT25-'BS (Base-Case)'!AS25)</f>
        <v>0</v>
      </c>
      <c r="AU20" s="327">
        <f>+('BS (Base-Case)'!AU25-'BS (Base-Case)'!AT25)</f>
        <v>0</v>
      </c>
      <c r="AV20" s="328">
        <f t="shared" si="23"/>
        <v>0</v>
      </c>
    </row>
    <row r="21" spans="2:48" ht="16.2" outlineLevel="1" x14ac:dyDescent="0.45">
      <c r="B21" s="485" t="s">
        <v>280</v>
      </c>
      <c r="C21" s="486"/>
      <c r="D21" s="329">
        <v>305.60000000000002</v>
      </c>
      <c r="E21" s="329">
        <f>429.3-D21</f>
        <v>123.69999999999999</v>
      </c>
      <c r="F21" s="329">
        <f>-67.4-E21-D21</f>
        <v>-496.70000000000005</v>
      </c>
      <c r="G21" s="329">
        <f>-141.1-F21-E21-D21</f>
        <v>-73.699999999999989</v>
      </c>
      <c r="H21" s="330">
        <f t="shared" si="15"/>
        <v>-141.10000000000002</v>
      </c>
      <c r="I21" s="329">
        <f>-31.8-301.6</f>
        <v>-333.40000000000003</v>
      </c>
      <c r="J21" s="329">
        <f>-608.6-140.5-I21</f>
        <v>-415.7</v>
      </c>
      <c r="K21" s="329">
        <f>-918.2+70.5-J21-I21</f>
        <v>-98.600000000000023</v>
      </c>
      <c r="L21" s="329">
        <f>-1231.4+280.5-K21-J21-I21</f>
        <v>-103.20000000000005</v>
      </c>
      <c r="M21" s="330">
        <f t="shared" si="16"/>
        <v>-950.90000000000009</v>
      </c>
      <c r="N21" s="329">
        <f>-314.8+12.3</f>
        <v>-302.5</v>
      </c>
      <c r="O21" s="329">
        <f>-676.3+59.5-N21</f>
        <v>-314.29999999999995</v>
      </c>
      <c r="P21" s="329">
        <f>-1029.8+154.6-O21-N21</f>
        <v>-258.39999999999998</v>
      </c>
      <c r="Q21" s="329">
        <f>-1488.1+358.7-P21-O21-N21</f>
        <v>-254.19999999999993</v>
      </c>
      <c r="R21" s="330">
        <f t="shared" si="17"/>
        <v>-1129.3999999999999</v>
      </c>
      <c r="S21" s="329">
        <f>-363.3+79.4</f>
        <v>-283.89999999999998</v>
      </c>
      <c r="T21" s="329">
        <f>-766.3-95-S21</f>
        <v>-577.4</v>
      </c>
      <c r="U21" s="329">
        <f>-1201.4+5.8-T21-S21</f>
        <v>-334.30000000000018</v>
      </c>
      <c r="V21" s="329">
        <f>('BS (Base-Case)'!V23-'BS (Base-Case)'!U23)+('BS (Base-Case)'!V33-'BS (Base-Case)'!U33)+('BS (Base-Case)'!V34-'BS (Base-Case)'!U34)+('BS (Base-Case)'!V26-'BS (Base-Case)'!U26)+('BS (Base-Case)'!V24-'BS (Base-Case)'!U24)</f>
        <v>-36.524700000000166</v>
      </c>
      <c r="W21" s="330">
        <f t="shared" si="18"/>
        <v>-1232.1247000000003</v>
      </c>
      <c r="X21" s="329">
        <f>('BS (Base-Case)'!X23-'BS (Base-Case)'!V23)+('BS (Base-Case)'!X33-'BS (Base-Case)'!V33)+('BS (Base-Case)'!X34-'BS (Base-Case)'!V34)+('BS (Base-Case)'!X26-'BS (Base-Case)'!V26)+('BS (Base-Case)'!X24-'BS (Base-Case)'!V24)</f>
        <v>-36.346935699999904</v>
      </c>
      <c r="Y21" s="329">
        <f>('BS (Base-Case)'!Y23-'BS (Base-Case)'!X23)+('BS (Base-Case)'!Y33-'BS (Base-Case)'!X33)+('BS (Base-Case)'!Y34-'BS (Base-Case)'!X34)+('BS (Base-Case)'!Y26-'BS (Base-Case)'!X26)+('BS (Base-Case)'!Y24-'BS (Base-Case)'!X24)</f>
        <v>-36.170040784700177</v>
      </c>
      <c r="Z21" s="329">
        <f>('BS (Base-Case)'!Z23-'BS (Base-Case)'!Y23)+('BS (Base-Case)'!Z33-'BS (Base-Case)'!Y33)+('BS (Base-Case)'!Z34-'BS (Base-Case)'!Y34)+('BS (Base-Case)'!Z26-'BS (Base-Case)'!Y26)+('BS (Base-Case)'!Z24-'BS (Base-Case)'!Y24)</f>
        <v>-35.994010984923307</v>
      </c>
      <c r="AA21" s="329">
        <f>('BS (Base-Case)'!AA23-'BS (Base-Case)'!Z23)+('BS (Base-Case)'!AA33-'BS (Base-Case)'!Z33)+('BS (Base-Case)'!AA34-'BS (Base-Case)'!Z34)+('BS (Base-Case)'!AA26-'BS (Base-Case)'!Z26)+('BS (Base-Case)'!AA24-'BS (Base-Case)'!Z24)</f>
        <v>-35.81884205252959</v>
      </c>
      <c r="AB21" s="330">
        <f t="shared" si="19"/>
        <v>-144.32982952215298</v>
      </c>
      <c r="AC21" s="329">
        <f>('BS (Base-Case)'!AC23-'BS (Base-Case)'!AA23)+('BS (Base-Case)'!AC33-'BS (Base-Case)'!AA33)+('BS (Base-Case)'!AC34-'BS (Base-Case)'!AA34)+('BS (Base-Case)'!AC26-'BS (Base-Case)'!AA26)+('BS (Base-Case)'!AC24-'BS (Base-Case)'!AA24)</f>
        <v>-35.644529760307478</v>
      </c>
      <c r="AD21" s="329">
        <f>('BS (Base-Case)'!AD23-'BS (Base-Case)'!AC23)+('BS (Base-Case)'!AD33-'BS (Base-Case)'!AC33)+('BS (Base-Case)'!AD34-'BS (Base-Case)'!AC34)+('BS (Base-Case)'!AD26-'BS (Base-Case)'!AC26)+('BS (Base-Case)'!AD24-'BS (Base-Case)'!AC24)</f>
        <v>-35.471069901874444</v>
      </c>
      <c r="AE21" s="329">
        <f>('BS (Base-Case)'!AE23-'BS (Base-Case)'!AD23)+('BS (Base-Case)'!AE33-'BS (Base-Case)'!AD33)+('BS (Base-Case)'!AE34-'BS (Base-Case)'!AD34)+('BS (Base-Case)'!AE26-'BS (Base-Case)'!AD26)+('BS (Base-Case)'!AE24-'BS (Base-Case)'!AD24)</f>
        <v>-35.298458291571478</v>
      </c>
      <c r="AF21" s="329">
        <f>('BS (Base-Case)'!AF23-'BS (Base-Case)'!AE23)+('BS (Base-Case)'!AF33-'BS (Base-Case)'!AE33)+('BS (Base-Case)'!AF34-'BS (Base-Case)'!AE34)+('BS (Base-Case)'!AF26-'BS (Base-Case)'!AE26)+('BS (Base-Case)'!AF24-'BS (Base-Case)'!AE24)</f>
        <v>-35.126690764364412</v>
      </c>
      <c r="AG21" s="330">
        <f t="shared" si="20"/>
        <v>-141.54074871811781</v>
      </c>
      <c r="AH21" s="329">
        <f>('BS (Base-Case)'!AH23-'BS (Base-Case)'!AF23)+('BS (Base-Case)'!AH33-'BS (Base-Case)'!AF33)+('BS (Base-Case)'!AH34-'BS (Base-Case)'!AF34)+('BS (Base-Case)'!AH26-'BS (Base-Case)'!AF26)+('BS (Base-Case)'!AH24-'BS (Base-Case)'!AF24)</f>
        <v>-34.955763175734774</v>
      </c>
      <c r="AI21" s="329">
        <f>('BS (Base-Case)'!AI23-'BS (Base-Case)'!AH23)+('BS (Base-Case)'!AI33-'BS (Base-Case)'!AH33)+('BS (Base-Case)'!AI34-'BS (Base-Case)'!AH34)+('BS (Base-Case)'!AI26-'BS (Base-Case)'!AH26)+('BS (Base-Case)'!AI24-'BS (Base-Case)'!AH24)</f>
        <v>-34.785671401588388</v>
      </c>
      <c r="AJ21" s="329">
        <f>('BS (Base-Case)'!AJ23-'BS (Base-Case)'!AI23)+('BS (Base-Case)'!AJ33-'BS (Base-Case)'!AI33)+('BS (Base-Case)'!AJ34-'BS (Base-Case)'!AI34)+('BS (Base-Case)'!AJ26-'BS (Base-Case)'!AI26)+('BS (Base-Case)'!AJ24-'BS (Base-Case)'!AI24)</f>
        <v>-34.616411338146236</v>
      </c>
      <c r="AK21" s="329">
        <f>('BS (Base-Case)'!AK23-'BS (Base-Case)'!AJ23)+('BS (Base-Case)'!AK33-'BS (Base-Case)'!AJ33)+('BS (Base-Case)'!AK34-'BS (Base-Case)'!AJ34)+('BS (Base-Case)'!AK26-'BS (Base-Case)'!AJ26)+('BS (Base-Case)'!AK24-'BS (Base-Case)'!AJ24)</f>
        <v>-34.447978901846909</v>
      </c>
      <c r="AL21" s="330">
        <f t="shared" si="21"/>
        <v>-138.80582481731631</v>
      </c>
      <c r="AM21" s="329">
        <f>('BS (Base-Case)'!AM23-'BS (Base-Case)'!AK23)+('BS (Base-Case)'!AM33-'BS (Base-Case)'!AK33)+('BS (Base-Case)'!AM34-'BS (Base-Case)'!AK34)+('BS (Base-Case)'!AM26-'BS (Base-Case)'!AK26)+('BS (Base-Case)'!AM24-'BS (Base-Case)'!AK24)</f>
        <v>-34.280370029247024</v>
      </c>
      <c r="AN21" s="329">
        <f>('BS (Base-Case)'!AN23-'BS (Base-Case)'!AM23)+('BS (Base-Case)'!AN33-'BS (Base-Case)'!AM33)+('BS (Base-Case)'!AN34-'BS (Base-Case)'!AM34)+('BS (Base-Case)'!AN26-'BS (Base-Case)'!AM26)+('BS (Base-Case)'!AN24-'BS (Base-Case)'!AM24)</f>
        <v>-34.113580676922538</v>
      </c>
      <c r="AO21" s="329">
        <f>('BS (Base-Case)'!AO23-'BS (Base-Case)'!AN23)+('BS (Base-Case)'!AO33-'BS (Base-Case)'!AN33)+('BS (Base-Case)'!AO34-'BS (Base-Case)'!AN34)+('BS (Base-Case)'!AO26-'BS (Base-Case)'!AN26)+('BS (Base-Case)'!AO24-'BS (Base-Case)'!AN24)</f>
        <v>-33.947606821368026</v>
      </c>
      <c r="AP21" s="329">
        <f>('BS (Base-Case)'!AP23-'BS (Base-Case)'!AO23)+('BS (Base-Case)'!AP33-'BS (Base-Case)'!AO33)+('BS (Base-Case)'!AP34-'BS (Base-Case)'!AO34)+('BS (Base-Case)'!AP26-'BS (Base-Case)'!AO26)+('BS (Base-Case)'!AP24-'BS (Base-Case)'!AO24)</f>
        <v>-33.7824444589005</v>
      </c>
      <c r="AQ21" s="330">
        <f t="shared" si="22"/>
        <v>-136.12400198643809</v>
      </c>
      <c r="AR21" s="329">
        <f>('BS (Base-Case)'!AR23-'BS (Base-Case)'!AP23)+('BS (Base-Case)'!AR33-'BS (Base-Case)'!AP33)+('BS (Base-Case)'!AR34-'BS (Base-Case)'!AP34)+('BS (Base-Case)'!AR26-'BS (Base-Case)'!AP26)+('BS (Base-Case)'!AR24-'BS (Base-Case)'!AP24)</f>
        <v>-33.618089605559135</v>
      </c>
      <c r="AS21" s="329">
        <f>('BS (Base-Case)'!AS23-'BS (Base-Case)'!AR23)+('BS (Base-Case)'!AS33-'BS (Base-Case)'!AR33)+('BS (Base-Case)'!AS34-'BS (Base-Case)'!AR34)+('BS (Base-Case)'!AS26-'BS (Base-Case)'!AR26)+('BS (Base-Case)'!AS24-'BS (Base-Case)'!AR24)</f>
        <v>-33.454538297008185</v>
      </c>
      <c r="AT21" s="329">
        <f>('BS (Base-Case)'!AT23-'BS (Base-Case)'!AS23)+('BS (Base-Case)'!AT33-'BS (Base-Case)'!AS33)+('BS (Base-Case)'!AT34-'BS (Base-Case)'!AS34)+('BS (Base-Case)'!AT26-'BS (Base-Case)'!AS26)+('BS (Base-Case)'!AT24-'BS (Base-Case)'!AS24)</f>
        <v>-33.291786588442392</v>
      </c>
      <c r="AU21" s="329">
        <f>('BS (Base-Case)'!AU23-'BS (Base-Case)'!AT23)+('BS (Base-Case)'!AU33-'BS (Base-Case)'!AT33)+('BS (Base-Case)'!AU34-'BS (Base-Case)'!AT34)+('BS (Base-Case)'!AU26-'BS (Base-Case)'!AT26)+('BS (Base-Case)'!AU24-'BS (Base-Case)'!AT24)</f>
        <v>-33.129830554487398</v>
      </c>
      <c r="AV21" s="330">
        <f t="shared" si="23"/>
        <v>-133.49424504549711</v>
      </c>
    </row>
    <row r="22" spans="2:48" outlineLevel="1" x14ac:dyDescent="0.3">
      <c r="B22" s="487" t="s">
        <v>281</v>
      </c>
      <c r="C22" s="488"/>
      <c r="D22" s="331">
        <f t="shared" ref="D22:AV22" si="25">D6+SUM(D7:D21)</f>
        <v>2379.0000000000005</v>
      </c>
      <c r="E22" s="331">
        <f t="shared" si="25"/>
        <v>390.39999999999969</v>
      </c>
      <c r="F22" s="331">
        <f t="shared" si="25"/>
        <v>1169.400000000001</v>
      </c>
      <c r="G22" s="331">
        <f t="shared" si="25"/>
        <v>1108.1000000000008</v>
      </c>
      <c r="H22" s="332">
        <f t="shared" si="25"/>
        <v>5046.9000000000051</v>
      </c>
      <c r="I22" s="331">
        <f t="shared" si="25"/>
        <v>1836.0999999999985</v>
      </c>
      <c r="J22" s="331">
        <f t="shared" si="25"/>
        <v>-1361.3000000000009</v>
      </c>
      <c r="K22" s="331">
        <f t="shared" si="25"/>
        <v>-367.69999999999925</v>
      </c>
      <c r="L22" s="331">
        <f t="shared" si="25"/>
        <v>1490.7000000000014</v>
      </c>
      <c r="M22" s="332">
        <f t="shared" si="25"/>
        <v>1597.8000000000043</v>
      </c>
      <c r="N22" s="331">
        <f t="shared" si="25"/>
        <v>1835.7000000000003</v>
      </c>
      <c r="O22" s="331">
        <f t="shared" si="25"/>
        <v>883.80000000000018</v>
      </c>
      <c r="P22" s="331">
        <f t="shared" si="25"/>
        <v>1748.9999999999991</v>
      </c>
      <c r="Q22" s="331">
        <f t="shared" si="25"/>
        <v>1520.6999999999996</v>
      </c>
      <c r="R22" s="332">
        <f t="shared" si="25"/>
        <v>5989.199999999998</v>
      </c>
      <c r="S22" s="331">
        <f t="shared" si="25"/>
        <v>1870.8999999999999</v>
      </c>
      <c r="T22" s="331">
        <f t="shared" si="25"/>
        <v>161.9000000000002</v>
      </c>
      <c r="U22" s="331">
        <f t="shared" si="25"/>
        <v>1264.7999999999993</v>
      </c>
      <c r="V22" s="331">
        <f t="shared" si="25"/>
        <v>1337.2390938203303</v>
      </c>
      <c r="W22" s="332">
        <f>W6+SUM(W7:W21)</f>
        <v>4634.8390938203302</v>
      </c>
      <c r="X22" s="331">
        <f t="shared" si="25"/>
        <v>1680.9752258233507</v>
      </c>
      <c r="Y22" s="331">
        <f t="shared" si="25"/>
        <v>715.61234575877268</v>
      </c>
      <c r="Z22" s="331">
        <f t="shared" si="25"/>
        <v>1075.0034481742098</v>
      </c>
      <c r="AA22" s="331">
        <f t="shared" si="25"/>
        <v>1946.1761553741014</v>
      </c>
      <c r="AB22" s="332">
        <f t="shared" si="25"/>
        <v>5417.7671751304351</v>
      </c>
      <c r="AC22" s="331">
        <f t="shared" si="25"/>
        <v>2096.0396741235641</v>
      </c>
      <c r="AD22" s="331">
        <f t="shared" si="25"/>
        <v>984.18292262234183</v>
      </c>
      <c r="AE22" s="331">
        <f t="shared" si="25"/>
        <v>1447.0905589101023</v>
      </c>
      <c r="AF22" s="331">
        <f t="shared" si="25"/>
        <v>1898.0343018849289</v>
      </c>
      <c r="AG22" s="332">
        <f t="shared" si="25"/>
        <v>6425.3474575409364</v>
      </c>
      <c r="AH22" s="331">
        <f t="shared" si="25"/>
        <v>2315.1856259510178</v>
      </c>
      <c r="AI22" s="331">
        <f t="shared" si="25"/>
        <v>1123.8103766267191</v>
      </c>
      <c r="AJ22" s="331">
        <f t="shared" si="25"/>
        <v>1622.8861318649228</v>
      </c>
      <c r="AK22" s="331">
        <f t="shared" si="25"/>
        <v>2200.8337720941727</v>
      </c>
      <c r="AL22" s="332">
        <f t="shared" si="25"/>
        <v>7262.7159065368323</v>
      </c>
      <c r="AM22" s="331">
        <f t="shared" si="25"/>
        <v>2581.2306471236361</v>
      </c>
      <c r="AN22" s="331">
        <f t="shared" si="25"/>
        <v>1224.2838599990457</v>
      </c>
      <c r="AO22" s="331">
        <f t="shared" si="25"/>
        <v>1734.9957587174354</v>
      </c>
      <c r="AP22" s="331">
        <f t="shared" si="25"/>
        <v>2420.0137190756786</v>
      </c>
      <c r="AQ22" s="332">
        <f t="shared" si="25"/>
        <v>7960.5239849157952</v>
      </c>
      <c r="AR22" s="331">
        <f t="shared" si="25"/>
        <v>2823.5143378586645</v>
      </c>
      <c r="AS22" s="331">
        <f t="shared" si="25"/>
        <v>1340.0317962122306</v>
      </c>
      <c r="AT22" s="331">
        <f t="shared" si="25"/>
        <v>1920.3965766827137</v>
      </c>
      <c r="AU22" s="331">
        <f t="shared" si="25"/>
        <v>2562.253229759679</v>
      </c>
      <c r="AV22" s="332">
        <f t="shared" si="25"/>
        <v>8646.1959405132875</v>
      </c>
    </row>
    <row r="23" spans="2:48" outlineLevel="1" x14ac:dyDescent="0.3">
      <c r="B23" s="451" t="s">
        <v>282</v>
      </c>
      <c r="C23" s="452"/>
      <c r="D23" s="333"/>
      <c r="E23" s="334"/>
      <c r="F23" s="334"/>
      <c r="G23" s="334"/>
      <c r="H23" s="335"/>
      <c r="I23" s="336"/>
      <c r="J23" s="336"/>
      <c r="K23" s="334"/>
      <c r="L23" s="334"/>
      <c r="M23" s="337"/>
      <c r="N23" s="334"/>
      <c r="O23" s="334"/>
      <c r="P23" s="334"/>
      <c r="Q23" s="334"/>
      <c r="R23" s="337"/>
      <c r="S23" s="334"/>
      <c r="T23" s="334"/>
      <c r="U23" s="334"/>
      <c r="V23" s="334"/>
      <c r="W23" s="337"/>
      <c r="X23" s="334"/>
      <c r="Y23" s="334"/>
      <c r="Z23" s="334"/>
      <c r="AA23" s="334"/>
      <c r="AB23" s="337"/>
      <c r="AC23" s="334"/>
      <c r="AD23" s="334"/>
      <c r="AE23" s="334"/>
      <c r="AF23" s="334"/>
      <c r="AG23" s="337"/>
      <c r="AH23" s="334"/>
      <c r="AI23" s="334"/>
      <c r="AJ23" s="334"/>
      <c r="AK23" s="334"/>
      <c r="AL23" s="337"/>
      <c r="AM23" s="334"/>
      <c r="AN23" s="334"/>
      <c r="AO23" s="334"/>
      <c r="AP23" s="334"/>
      <c r="AQ23" s="337"/>
      <c r="AR23" s="334"/>
      <c r="AS23" s="334"/>
      <c r="AT23" s="334"/>
      <c r="AU23" s="334"/>
      <c r="AV23" s="337"/>
    </row>
    <row r="24" spans="2:48" outlineLevel="1" x14ac:dyDescent="0.3">
      <c r="B24" s="200" t="s">
        <v>283</v>
      </c>
      <c r="C24" s="201"/>
      <c r="D24" s="16">
        <f>-108.7+32.1+14.2</f>
        <v>-62.399999999999991</v>
      </c>
      <c r="E24" s="16">
        <f>-150.2+218.3+55.1-D24</f>
        <v>185.60000000000002</v>
      </c>
      <c r="F24" s="16">
        <f>-176.3+281.7+57.5-E24-D24</f>
        <v>39.699999999999946</v>
      </c>
      <c r="G24" s="16">
        <f>-190.4+298.3+59.8-F24-E24-D24</f>
        <v>4.8000000000000256</v>
      </c>
      <c r="H24" s="17">
        <f>SUM(D24:G24)</f>
        <v>167.7</v>
      </c>
      <c r="I24" s="16">
        <f>-38+64.6+1.3</f>
        <v>27.899999999999995</v>
      </c>
      <c r="J24" s="16">
        <f>-65.1+93.7+4.3-I24</f>
        <v>5.0000000000000107</v>
      </c>
      <c r="K24" s="16">
        <f>-297.4+133.5+10-J24-I24</f>
        <v>-186.79999999999998</v>
      </c>
      <c r="L24" s="16">
        <f>-443.9+186.7+73.7-K24-J24-I24</f>
        <v>-29.600000000000023</v>
      </c>
      <c r="M24" s="17">
        <f>SUM(I24:L24)</f>
        <v>-183.5</v>
      </c>
      <c r="N24" s="16">
        <f>-135.5+91.2+113.7</f>
        <v>69.400000000000006</v>
      </c>
      <c r="O24" s="16">
        <f>-321.7+121.7+289-N24</f>
        <v>19.599999999999994</v>
      </c>
      <c r="P24" s="16">
        <f>-367.3+130.4+298.7-O24-N24</f>
        <v>-27.200000000000017</v>
      </c>
      <c r="Q24" s="16">
        <f>-432+143.2+345.5-P24-O24-N24</f>
        <v>-5.0999999999999943</v>
      </c>
      <c r="R24" s="17">
        <f>SUM(N24:Q24)</f>
        <v>56.699999999999989</v>
      </c>
      <c r="S24" s="16">
        <f>-61+72.6+45.6</f>
        <v>57.199999999999996</v>
      </c>
      <c r="T24" s="16">
        <f>-67.5+72.6+55.7-S24</f>
        <v>3.6000000000000014</v>
      </c>
      <c r="U24" s="16">
        <f>-117.3+72.6+59.5-T24-S24</f>
        <v>-46</v>
      </c>
      <c r="V24" s="16">
        <f>-('BS (Base-Case)'!V7-'BS (Base-Case)'!U7)-('BS (Base-Case)'!V12-'BS (Base-Case)'!U12)</f>
        <v>-4.1259993581648757</v>
      </c>
      <c r="W24" s="17">
        <f>SUM(S24:V24)</f>
        <v>10.674000641835121</v>
      </c>
      <c r="X24" s="16">
        <f>-('BS (Base-Case)'!X7-'BS (Base-Case)'!V7)-('BS (Base-Case)'!X12-'BS (Base-Case)'!V12)</f>
        <v>-4.3274850693935321</v>
      </c>
      <c r="Y24" s="16">
        <f>-('BS (Base-Case)'!Y7-'BS (Base-Case)'!X7)-('BS (Base-Case)'!Y12-'BS (Base-Case)'!X12)</f>
        <v>3.9629849836104825</v>
      </c>
      <c r="Z24" s="16">
        <f>-('BS (Base-Case)'!Z7-'BS (Base-Case)'!Y7)-('BS (Base-Case)'!Z12-'BS (Base-Case)'!Y12)</f>
        <v>-11.200484529819349</v>
      </c>
      <c r="AA24" s="16">
        <f>-('BS (Base-Case)'!AA7-'BS (Base-Case)'!Z7)-('BS (Base-Case)'!AA12-'BS (Base-Case)'!Z12)</f>
        <v>-4.2586131396127058</v>
      </c>
      <c r="AB24" s="17">
        <f>SUM(X24:AA24)</f>
        <v>-15.823597755215104</v>
      </c>
      <c r="AC24" s="16">
        <f>-('BS (Base-Case)'!AC7-'BS (Base-Case)'!AA7)-('BS (Base-Case)'!AC12-'BS (Base-Case)'!AA12)</f>
        <v>-13.793620527275763</v>
      </c>
      <c r="AD24" s="16">
        <f>-('BS (Base-Case)'!AD7-'BS (Base-Case)'!AC7)-('BS (Base-Case)'!AD12-'BS (Base-Case)'!AC12)</f>
        <v>0.60459004128858851</v>
      </c>
      <c r="AE24" s="16">
        <f>-('BS (Base-Case)'!AE7-'BS (Base-Case)'!AD7)-('BS (Base-Case)'!AE12-'BS (Base-Case)'!AD12)</f>
        <v>-9.2492870448767377</v>
      </c>
      <c r="AF24" s="16">
        <f>-('BS (Base-Case)'!AF7-'BS (Base-Case)'!AE7)-('BS (Base-Case)'!AF12-'BS (Base-Case)'!AE12)</f>
        <v>-5.2842195307710114</v>
      </c>
      <c r="AG24" s="17">
        <f>SUM(AC24:AF24)</f>
        <v>-27.722537061634924</v>
      </c>
      <c r="AH24" s="16">
        <f>-('BS (Base-Case)'!AH7-'BS (Base-Case)'!AF7)-('BS (Base-Case)'!AH12-'BS (Base-Case)'!AF12)</f>
        <v>-16.099219072777217</v>
      </c>
      <c r="AI24" s="16">
        <f>-('BS (Base-Case)'!AI7-'BS (Base-Case)'!AH7)-('BS (Base-Case)'!AI12-'BS (Base-Case)'!AH12)</f>
        <v>0.14542720808130127</v>
      </c>
      <c r="AJ24" s="16">
        <f>-('BS (Base-Case)'!AJ7-'BS (Base-Case)'!AI7)-('BS (Base-Case)'!AJ12-'BS (Base-Case)'!AI12)</f>
        <v>-15.112732305197483</v>
      </c>
      <c r="AK24" s="16">
        <f>-('BS (Base-Case)'!AK7-'BS (Base-Case)'!AJ7)-('BS (Base-Case)'!AK12-'BS (Base-Case)'!AJ12)</f>
        <v>61.069835126164307</v>
      </c>
      <c r="AL24" s="17">
        <f>SUM(AH24:AK24)</f>
        <v>30.003310956270909</v>
      </c>
      <c r="AM24" s="16">
        <f>-('BS (Base-Case)'!AM7-'BS (Base-Case)'!AK7)-('BS (Base-Case)'!AM12-'BS (Base-Case)'!AK12)</f>
        <v>-15.511278655187965</v>
      </c>
      <c r="AN24" s="16">
        <f>-('BS (Base-Case)'!AN7-'BS (Base-Case)'!AM7)-('BS (Base-Case)'!AN12-'BS (Base-Case)'!AM12)</f>
        <v>2.2290554341783917</v>
      </c>
      <c r="AO24" s="16">
        <f>-('BS (Base-Case)'!AO7-'BS (Base-Case)'!AN7)-('BS (Base-Case)'!AO12-'BS (Base-Case)'!AN12)</f>
        <v>-11.722206173622354</v>
      </c>
      <c r="AP24" s="16">
        <f>-('BS (Base-Case)'!AP7-'BS (Base-Case)'!AO7)-('BS (Base-Case)'!AP12-'BS (Base-Case)'!AO12)</f>
        <v>-5.5824272593693252</v>
      </c>
      <c r="AQ24" s="17">
        <f>SUM(AM24:AP24)</f>
        <v>-30.586856654001252</v>
      </c>
      <c r="AR24" s="16">
        <f>-('BS (Base-Case)'!AR7-'BS (Base-Case)'!AP7)-('BS (Base-Case)'!AR12-'BS (Base-Case)'!AP12)</f>
        <v>-17.643711619096408</v>
      </c>
      <c r="AS24" s="16">
        <f>-('BS (Base-Case)'!AS7-'BS (Base-Case)'!AR7)-('BS (Base-Case)'!AS12-'BS (Base-Case)'!AR12)</f>
        <v>1.2150767554249455</v>
      </c>
      <c r="AT24" s="16">
        <f>-('BS (Base-Case)'!AT7-'BS (Base-Case)'!AS7)-('BS (Base-Case)'!AT12-'BS (Base-Case)'!AS12)</f>
        <v>-13.255004992657533</v>
      </c>
      <c r="AU24" s="16">
        <f>-('BS (Base-Case)'!AU7-'BS (Base-Case)'!AT7)-('BS (Base-Case)'!AU12-'BS (Base-Case)'!AT12)</f>
        <v>-6.8865387207956559</v>
      </c>
      <c r="AV24" s="17">
        <f>SUM(AR24:AU24)</f>
        <v>-36.570178577124651</v>
      </c>
    </row>
    <row r="25" spans="2:48" outlineLevel="1" x14ac:dyDescent="0.3">
      <c r="B25" s="435" t="s">
        <v>284</v>
      </c>
      <c r="C25" s="436"/>
      <c r="D25" s="16">
        <v>-431.4</v>
      </c>
      <c r="E25" s="16">
        <f>-845.6-D25</f>
        <v>-414.20000000000005</v>
      </c>
      <c r="F25" s="16">
        <f>-1280.7-E25-D25</f>
        <v>-435.1</v>
      </c>
      <c r="G25" s="16">
        <f>-1806.6-F25-E25-D25</f>
        <v>-525.9</v>
      </c>
      <c r="H25" s="169">
        <f>SUM(D25:G25)</f>
        <v>-1806.6</v>
      </c>
      <c r="I25" s="16">
        <v>-394.3</v>
      </c>
      <c r="J25" s="16">
        <f>-758.3-I25</f>
        <v>-363.99999999999994</v>
      </c>
      <c r="K25" s="16">
        <f>-1138.4-J25-I25</f>
        <v>-380.10000000000008</v>
      </c>
      <c r="L25" s="16">
        <f>-1483.6-K25-J25-I25</f>
        <v>-345.19999999999976</v>
      </c>
      <c r="M25" s="169">
        <f>SUM(I25:L25)</f>
        <v>-1483.6</v>
      </c>
      <c r="N25" s="16">
        <v>-324.2</v>
      </c>
      <c r="O25" s="16">
        <f>-647.9-N25</f>
        <v>-323.7</v>
      </c>
      <c r="P25" s="16">
        <f>-985.7-O25-N25</f>
        <v>-337.8</v>
      </c>
      <c r="Q25" s="16">
        <f>-1470-P25-O25-N25</f>
        <v>-484.3</v>
      </c>
      <c r="R25" s="169">
        <f>SUM(N25:Q25)</f>
        <v>-1470</v>
      </c>
      <c r="S25" s="16">
        <v>-416.8</v>
      </c>
      <c r="T25" s="16">
        <f>-871.9-S25</f>
        <v>-455.09999999999997</v>
      </c>
      <c r="U25" s="16">
        <f>-1295.4-T25-S25</f>
        <v>-423.50000000000017</v>
      </c>
      <c r="V25" s="16">
        <f>-'IS (Base-Case)'!V8*V56</f>
        <v>-487.54168746488921</v>
      </c>
      <c r="W25" s="169">
        <f>SUM(S25:V25)</f>
        <v>-1782.9416874648894</v>
      </c>
      <c r="X25" s="16">
        <f>-'IS (Base-Case)'!X8*X56</f>
        <v>-668.64144810103335</v>
      </c>
      <c r="Y25" s="16">
        <f>-'IS (Base-Case)'!Y8*Y56</f>
        <v>-647.40361854763819</v>
      </c>
      <c r="Z25" s="16">
        <f>-'IS (Base-Case)'!Z8*Z56</f>
        <v>-708.94568024971056</v>
      </c>
      <c r="AA25" s="16">
        <f>-'IS (Base-Case)'!AA8*AA56</f>
        <v>-725.00925310161779</v>
      </c>
      <c r="AB25" s="419">
        <f>SUM(X25:AA25)</f>
        <v>-2750</v>
      </c>
      <c r="AC25" s="16">
        <f>-'IS (Base-Case)'!AC8*AC56</f>
        <v>-679.91445090791535</v>
      </c>
      <c r="AD25" s="16">
        <f>-'IS (Base-Case)'!AD8*AD56</f>
        <v>-642.83137193609161</v>
      </c>
      <c r="AE25" s="16">
        <f>-'IS (Base-Case)'!AE8*AE56</f>
        <v>-704.54610476935875</v>
      </c>
      <c r="AF25" s="16">
        <f>-'IS (Base-Case)'!AF8*AF56</f>
        <v>-722.7080723866344</v>
      </c>
      <c r="AG25" s="419">
        <f>SUM(AC25:AF25)</f>
        <v>-2750</v>
      </c>
      <c r="AH25" s="16">
        <f>-'IS (Base-Case)'!AH8*AH56</f>
        <v>-679.70233690452073</v>
      </c>
      <c r="AI25" s="16">
        <f>-'IS (Base-Case)'!AI8*AI56</f>
        <v>-642.1409233651508</v>
      </c>
      <c r="AJ25" s="16">
        <f>-'IS (Base-Case)'!AJ8*AJ56</f>
        <v>-704.23765768572832</v>
      </c>
      <c r="AK25" s="16">
        <f>-'IS (Base-Case)'!AK8*AK56</f>
        <v>-723.91908204459253</v>
      </c>
      <c r="AL25" s="419">
        <f>SUM(AH25:AK25)</f>
        <v>-2749.9999999999923</v>
      </c>
      <c r="AM25" s="16">
        <f>-'IS (Base-Case)'!AM8*AM56</f>
        <v>-747.74618758998724</v>
      </c>
      <c r="AN25" s="16">
        <f>-'IS (Base-Case)'!AN8*AN56</f>
        <v>-702.84617323811699</v>
      </c>
      <c r="AO25" s="16">
        <f>-'IS (Base-Case)'!AO8*AO56</f>
        <v>-767.99886256777359</v>
      </c>
      <c r="AP25" s="16">
        <f>-'IS (Base-Case)'!AP8*AP56</f>
        <v>-787.09563690279879</v>
      </c>
      <c r="AQ25" s="17">
        <f>SUM(AM25:AP25)</f>
        <v>-3005.6868602986769</v>
      </c>
      <c r="AR25" s="16">
        <f>-'IS (Base-Case)'!AR8*AR56</f>
        <v>-796.38125597218891</v>
      </c>
      <c r="AS25" s="16">
        <f>-'IS (Base-Case)'!AS8*AS56</f>
        <v>-748.0203714828491</v>
      </c>
      <c r="AT25" s="16">
        <f>-'IS (Base-Case)'!AT8*AT56</f>
        <v>-817.19059843482205</v>
      </c>
      <c r="AU25" s="16">
        <f>-'IS (Base-Case)'!AU8*AU56</f>
        <v>-837.74595396265283</v>
      </c>
      <c r="AV25" s="17">
        <f>SUM(AR25:AU25)</f>
        <v>-3199.3381798525129</v>
      </c>
    </row>
    <row r="26" spans="2:48" ht="16.2" outlineLevel="1" x14ac:dyDescent="0.45">
      <c r="B26" s="435" t="s">
        <v>285</v>
      </c>
      <c r="C26" s="436"/>
      <c r="D26" s="260">
        <v>-16.600000000000001</v>
      </c>
      <c r="E26" s="260">
        <f>48.5-37.1-D26</f>
        <v>28</v>
      </c>
      <c r="F26" s="260">
        <f>684.2-72.9-E26-D26</f>
        <v>599.90000000000009</v>
      </c>
      <c r="G26" s="260">
        <f>684.3-56.2-F26-E26-D26</f>
        <v>16.79999999999982</v>
      </c>
      <c r="H26" s="261">
        <f>SUM(D26:G26)</f>
        <v>628.09999999999991</v>
      </c>
      <c r="I26" s="260">
        <v>-19.899999999999999</v>
      </c>
      <c r="J26" s="260">
        <f>-22.5-I26</f>
        <v>-2.6000000000000014</v>
      </c>
      <c r="K26" s="260">
        <f>-39.4-J26-I26</f>
        <v>-16.899999999999999</v>
      </c>
      <c r="L26" s="260">
        <f>-44.4-K26-J26-I26</f>
        <v>-5</v>
      </c>
      <c r="M26" s="261">
        <f>SUM(I26:L26)</f>
        <v>-44.4</v>
      </c>
      <c r="N26" s="260">
        <v>-17.7</v>
      </c>
      <c r="O26" s="260">
        <f>-20.1-N26</f>
        <v>-2.4000000000000021</v>
      </c>
      <c r="P26" s="260">
        <f>-62.3-O26-N26</f>
        <v>-42.199999999999989</v>
      </c>
      <c r="Q26" s="260">
        <f>1175-81.2-P26-O26-N26</f>
        <v>1156.1000000000001</v>
      </c>
      <c r="R26" s="261">
        <f>SUM(N26:Q26)</f>
        <v>1093.8000000000002</v>
      </c>
      <c r="S26" s="260">
        <v>-41.4</v>
      </c>
      <c r="T26" s="260">
        <f>-69.8-S26</f>
        <v>-28.4</v>
      </c>
      <c r="U26" s="260">
        <f>-95.7-T26-S26</f>
        <v>-25.900000000000013</v>
      </c>
      <c r="V26" s="260">
        <f>-('BS (Base-Case)'!V13-'BS (Base-Case)'!U13)-('BS (Base-Case)'!V17-'BS (Base-Case)'!U17)-('BS (Base-Case)'!V15-'BS (Base-Case)'!U15)+('BS (Base-Case)'!V32-'BS (Base-Case)'!U32)-('BS (Base-Case)'!V18-'BS (Base-Case)'!U18)-('BS (Base-Case)'!V19-'BS (Base-Case)'!U19)</f>
        <v>21.646156080834032</v>
      </c>
      <c r="W26" s="261">
        <f>SUM(S26:V26)</f>
        <v>-74.053843919165985</v>
      </c>
      <c r="X26" s="260">
        <f>-('BS (Base-Case)'!X13-'BS (Base-Case)'!V13)-('BS (Base-Case)'!X17-'BS (Base-Case)'!V17)-('BS (Base-Case)'!X15-'BS (Base-Case)'!V15)+('BS (Base-Case)'!X32-'BS (Base-Case)'!V32)-('BS (Base-Case)'!X18-'BS (Base-Case)'!V18)-('BS (Base-Case)'!X19-'BS (Base-Case)'!V19)</f>
        <v>-0.33275892022197695</v>
      </c>
      <c r="Y26" s="260">
        <f>-('BS (Base-Case)'!Y13-'BS (Base-Case)'!X13)-('BS (Base-Case)'!Y17-'BS (Base-Case)'!X17)-('BS (Base-Case)'!Y15-'BS (Base-Case)'!X15)+('BS (Base-Case)'!Y32-'BS (Base-Case)'!X32)-('BS (Base-Case)'!Y18-'BS (Base-Case)'!X18)-('BS (Base-Case)'!Y19-'BS (Base-Case)'!X19)</f>
        <v>19.028199364505525</v>
      </c>
      <c r="Z26" s="260">
        <f>-('BS (Base-Case)'!Z13-'BS (Base-Case)'!Y13)-('BS (Base-Case)'!Z17-'BS (Base-Case)'!Y17)-('BS (Base-Case)'!Z15-'BS (Base-Case)'!Y15)+('BS (Base-Case)'!Z32-'BS (Base-Case)'!Y32)-('BS (Base-Case)'!Z18-'BS (Base-Case)'!Y18)-('BS (Base-Case)'!Z19-'BS (Base-Case)'!Y19)</f>
        <v>0.11916738937679838</v>
      </c>
      <c r="AA26" s="260">
        <f>-('BS (Base-Case)'!AA13-'BS (Base-Case)'!Z13)-('BS (Base-Case)'!AA17-'BS (Base-Case)'!Z17)-('BS (Base-Case)'!AA15-'BS (Base-Case)'!Z15)+('BS (Base-Case)'!AA32-'BS (Base-Case)'!Z32)-('BS (Base-Case)'!AA18-'BS (Base-Case)'!Z18)-('BS (Base-Case)'!AA19-'BS (Base-Case)'!Z19)</f>
        <v>6.7786717047456762</v>
      </c>
      <c r="AB26" s="261">
        <f>SUM(X26:AA26)</f>
        <v>25.593279538406023</v>
      </c>
      <c r="AC26" s="260">
        <f>-('BS (Base-Case)'!AC13-'BS (Base-Case)'!AA13)-('BS (Base-Case)'!AC17-'BS (Base-Case)'!AA17)-('BS (Base-Case)'!AC15-'BS (Base-Case)'!AA15)+('BS (Base-Case)'!AC32-'BS (Base-Case)'!AA32)-('BS (Base-Case)'!AC18-'BS (Base-Case)'!AA18)-('BS (Base-Case)'!AC19-'BS (Base-Case)'!AA19)</f>
        <v>-13.339814650338951</v>
      </c>
      <c r="AD26" s="260">
        <f>-('BS (Base-Case)'!AD13-'BS (Base-Case)'!AC13)-('BS (Base-Case)'!AD17-'BS (Base-Case)'!AC17)-('BS (Base-Case)'!AD15-'BS (Base-Case)'!AC15)+('BS (Base-Case)'!AD32-'BS (Base-Case)'!AC32)-('BS (Base-Case)'!AD18-'BS (Base-Case)'!AC18)-('BS (Base-Case)'!AD19-'BS (Base-Case)'!AC19)</f>
        <v>12.786314681317606</v>
      </c>
      <c r="AE26" s="260">
        <f>-('BS (Base-Case)'!AE13-'BS (Base-Case)'!AD13)-('BS (Base-Case)'!AE17-'BS (Base-Case)'!AD17)-('BS (Base-Case)'!AE15-'BS (Base-Case)'!AD15)+('BS (Base-Case)'!AE32-'BS (Base-Case)'!AD32)-('BS (Base-Case)'!AE18-'BS (Base-Case)'!AD18)-('BS (Base-Case)'!AE19-'BS (Base-Case)'!AD19)</f>
        <v>-4.1195312125490489</v>
      </c>
      <c r="AF26" s="260">
        <f>-('BS (Base-Case)'!AF13-'BS (Base-Case)'!AE13)-('BS (Base-Case)'!AF17-'BS (Base-Case)'!AE17)-('BS (Base-Case)'!AF15-'BS (Base-Case)'!AE15)+('BS (Base-Case)'!AF32-'BS (Base-Case)'!AE32)-('BS (Base-Case)'!AF18-'BS (Base-Case)'!AE18)-('BS (Base-Case)'!AF19-'BS (Base-Case)'!AE19)</f>
        <v>0.91949201359113886</v>
      </c>
      <c r="AG26" s="261">
        <f>SUM(AC26:AF26)</f>
        <v>-3.7535391679792554</v>
      </c>
      <c r="AH26" s="260">
        <f>-('BS (Base-Case)'!AH13-'BS (Base-Case)'!AF13)-('BS (Base-Case)'!AH17-'BS (Base-Case)'!AF17)-('BS (Base-Case)'!AH15-'BS (Base-Case)'!AF15)+('BS (Base-Case)'!AH32-'BS (Base-Case)'!AF32)-('BS (Base-Case)'!AH18-'BS (Base-Case)'!AF18)-('BS (Base-Case)'!AH19-'BS (Base-Case)'!AF19)</f>
        <v>-18.682130624768888</v>
      </c>
      <c r="AI26" s="260">
        <f>-('BS (Base-Case)'!AI13-'BS (Base-Case)'!AH13)-('BS (Base-Case)'!AI17-'BS (Base-Case)'!AH17)-('BS (Base-Case)'!AI15-'BS (Base-Case)'!AH15)+('BS (Base-Case)'!AI32-'BS (Base-Case)'!AH32)-('BS (Base-Case)'!AI18-'BS (Base-Case)'!AH18)-('BS (Base-Case)'!AI19-'BS (Base-Case)'!AH19)</f>
        <v>9.2867697898808643</v>
      </c>
      <c r="AJ26" s="260">
        <f>-('BS (Base-Case)'!AJ13-'BS (Base-Case)'!AI13)-('BS (Base-Case)'!AJ17-'BS (Base-Case)'!AI17)-('BS (Base-Case)'!AJ15-'BS (Base-Case)'!AI15)+('BS (Base-Case)'!AJ32-'BS (Base-Case)'!AI32)-('BS (Base-Case)'!AJ18-'BS (Base-Case)'!AI18)-('BS (Base-Case)'!AJ19-'BS (Base-Case)'!AI19)</f>
        <v>-17.6609082117631</v>
      </c>
      <c r="AK26" s="260">
        <f>-('BS (Base-Case)'!AK13-'BS (Base-Case)'!AJ13)-('BS (Base-Case)'!AK17-'BS (Base-Case)'!AJ17)-('BS (Base-Case)'!AK15-'BS (Base-Case)'!AJ15)+('BS (Base-Case)'!AK32-'BS (Base-Case)'!AJ32)-('BS (Base-Case)'!AK18-'BS (Base-Case)'!AJ18)-('BS (Base-Case)'!AK19-'BS (Base-Case)'!AJ19)</f>
        <v>113.44793905756585</v>
      </c>
      <c r="AL26" s="261">
        <f>SUM(AH26:AK26)</f>
        <v>86.391670010914723</v>
      </c>
      <c r="AM26" s="260">
        <f>-('BS (Base-Case)'!AM13-'BS (Base-Case)'!AK13)-('BS (Base-Case)'!AM17-'BS (Base-Case)'!AK17)-('BS (Base-Case)'!AM15-'BS (Base-Case)'!AK15)+('BS (Base-Case)'!AM32-'BS (Base-Case)'!AK32)-('BS (Base-Case)'!AM18-'BS (Base-Case)'!AK18)-('BS (Base-Case)'!AM19-'BS (Base-Case)'!AK19)</f>
        <v>-19.552942826693119</v>
      </c>
      <c r="AN26" s="260">
        <f>-('BS (Base-Case)'!AN13-'BS (Base-Case)'!AM13)-('BS (Base-Case)'!AN17-'BS (Base-Case)'!AM17)-('BS (Base-Case)'!AN15-'BS (Base-Case)'!AM15)+('BS (Base-Case)'!AN32-'BS (Base-Case)'!AM32)-('BS (Base-Case)'!AN18-'BS (Base-Case)'!AM18)-('BS (Base-Case)'!AN19-'BS (Base-Case)'!AM19)</f>
        <v>10.779205613175442</v>
      </c>
      <c r="AO26" s="260">
        <f>-('BS (Base-Case)'!AO13-'BS (Base-Case)'!AN13)-('BS (Base-Case)'!AO17-'BS (Base-Case)'!AN17)-('BS (Base-Case)'!AO15-'BS (Base-Case)'!AN15)+('BS (Base-Case)'!AO32-'BS (Base-Case)'!AN32)-('BS (Base-Case)'!AO18-'BS (Base-Case)'!AN18)-('BS (Base-Case)'!AO19-'BS (Base-Case)'!AN19)</f>
        <v>-13.797688773515297</v>
      </c>
      <c r="AP26" s="260">
        <f>-('BS (Base-Case)'!AP13-'BS (Base-Case)'!AO13)-('BS (Base-Case)'!AP17-'BS (Base-Case)'!AO17)-('BS (Base-Case)'!AP15-'BS (Base-Case)'!AO15)+('BS (Base-Case)'!AP32-'BS (Base-Case)'!AO32)-('BS (Base-Case)'!AP18-'BS (Base-Case)'!AO18)-('BS (Base-Case)'!AP19-'BS (Base-Case)'!AO19)</f>
        <v>-3.5813509065517408</v>
      </c>
      <c r="AQ26" s="261">
        <f>SUM(AM26:AP26)</f>
        <v>-26.152776893584715</v>
      </c>
      <c r="AR26" s="260">
        <f>-('BS (Base-Case)'!AR13-'BS (Base-Case)'!AP13)-('BS (Base-Case)'!AR17-'BS (Base-Case)'!AP17)-('BS (Base-Case)'!AR15-'BS (Base-Case)'!AP15)+('BS (Base-Case)'!AR32-'BS (Base-Case)'!AP32)-('BS (Base-Case)'!AR18-'BS (Base-Case)'!AP18)-('BS (Base-Case)'!AR19-'BS (Base-Case)'!AP19)</f>
        <v>-24.794647716234209</v>
      </c>
      <c r="AS26" s="260">
        <f>-('BS (Base-Case)'!AS13-'BS (Base-Case)'!AR13)-('BS (Base-Case)'!AS17-'BS (Base-Case)'!AR17)-('BS (Base-Case)'!AS15-'BS (Base-Case)'!AR15)+('BS (Base-Case)'!AS32-'BS (Base-Case)'!AR32)-('BS (Base-Case)'!AS18-'BS (Base-Case)'!AR18)-('BS (Base-Case)'!AS19-'BS (Base-Case)'!AR19)</f>
        <v>7.5343995209185906</v>
      </c>
      <c r="AT26" s="260">
        <f>-('BS (Base-Case)'!AT13-'BS (Base-Case)'!AS13)-('BS (Base-Case)'!AT17-'BS (Base-Case)'!AS17)-('BS (Base-Case)'!AT15-'BS (Base-Case)'!AS15)+('BS (Base-Case)'!AT32-'BS (Base-Case)'!AS32)-('BS (Base-Case)'!AT18-'BS (Base-Case)'!AS18)-('BS (Base-Case)'!AT19-'BS (Base-Case)'!AS19)</f>
        <v>-17.814570734415931</v>
      </c>
      <c r="AU26" s="260">
        <f>-('BS (Base-Case)'!AU13-'BS (Base-Case)'!AT13)-('BS (Base-Case)'!AU17-'BS (Base-Case)'!AT17)-('BS (Base-Case)'!AU15-'BS (Base-Case)'!AT15)+('BS (Base-Case)'!AU32-'BS (Base-Case)'!AT32)-('BS (Base-Case)'!AU18-'BS (Base-Case)'!AT18)-('BS (Base-Case)'!AU19-'BS (Base-Case)'!AT19)</f>
        <v>-7.0700064756741341</v>
      </c>
      <c r="AV26" s="261">
        <f>SUM(AR26:AU26)</f>
        <v>-42.144825405405683</v>
      </c>
    </row>
    <row r="27" spans="2:48" outlineLevel="1" x14ac:dyDescent="0.3">
      <c r="B27" s="445" t="s">
        <v>286</v>
      </c>
      <c r="C27" s="446"/>
      <c r="D27" s="21">
        <f t="shared" ref="D27:AV27" si="26">SUM(D24:D26)</f>
        <v>-510.4</v>
      </c>
      <c r="E27" s="21">
        <f t="shared" si="26"/>
        <v>-200.60000000000002</v>
      </c>
      <c r="F27" s="21">
        <f t="shared" si="26"/>
        <v>204.5</v>
      </c>
      <c r="G27" s="21">
        <f t="shared" si="26"/>
        <v>-504.30000000000007</v>
      </c>
      <c r="H27" s="22">
        <f t="shared" si="26"/>
        <v>-1010.8</v>
      </c>
      <c r="I27" s="21">
        <f t="shared" si="26"/>
        <v>-386.3</v>
      </c>
      <c r="J27" s="21">
        <f t="shared" si="26"/>
        <v>-361.59999999999997</v>
      </c>
      <c r="K27" s="21">
        <f t="shared" si="26"/>
        <v>-583.80000000000007</v>
      </c>
      <c r="L27" s="21">
        <f t="shared" si="26"/>
        <v>-379.79999999999978</v>
      </c>
      <c r="M27" s="22">
        <f t="shared" si="26"/>
        <v>-1711.5</v>
      </c>
      <c r="N27" s="21">
        <f t="shared" si="26"/>
        <v>-272.5</v>
      </c>
      <c r="O27" s="21">
        <f t="shared" si="26"/>
        <v>-306.5</v>
      </c>
      <c r="P27" s="21">
        <f t="shared" si="26"/>
        <v>-407.2</v>
      </c>
      <c r="Q27" s="21">
        <f t="shared" si="26"/>
        <v>666.70000000000016</v>
      </c>
      <c r="R27" s="22">
        <f t="shared" si="26"/>
        <v>-319.49999999999977</v>
      </c>
      <c r="S27" s="21">
        <f t="shared" si="26"/>
        <v>-401</v>
      </c>
      <c r="T27" s="21">
        <f t="shared" si="26"/>
        <v>-479.89999999999992</v>
      </c>
      <c r="U27" s="21">
        <f t="shared" si="26"/>
        <v>-495.4000000000002</v>
      </c>
      <c r="V27" s="21">
        <f t="shared" si="26"/>
        <v>-470.02153074222002</v>
      </c>
      <c r="W27" s="22">
        <f t="shared" si="26"/>
        <v>-1846.3215307422201</v>
      </c>
      <c r="X27" s="21">
        <f t="shared" si="26"/>
        <v>-673.30169209064888</v>
      </c>
      <c r="Y27" s="21">
        <f t="shared" si="26"/>
        <v>-624.41243419952218</v>
      </c>
      <c r="Z27" s="21">
        <f t="shared" si="26"/>
        <v>-720.02699739015316</v>
      </c>
      <c r="AA27" s="21">
        <f t="shared" si="26"/>
        <v>-722.48919453648489</v>
      </c>
      <c r="AB27" s="22">
        <f t="shared" si="26"/>
        <v>-2740.2303182168089</v>
      </c>
      <c r="AC27" s="21">
        <f t="shared" si="26"/>
        <v>-707.04788608553008</v>
      </c>
      <c r="AD27" s="21">
        <f t="shared" si="26"/>
        <v>-629.44046721348536</v>
      </c>
      <c r="AE27" s="21">
        <f t="shared" si="26"/>
        <v>-717.91492302678455</v>
      </c>
      <c r="AF27" s="21">
        <f t="shared" si="26"/>
        <v>-727.07279990381426</v>
      </c>
      <c r="AG27" s="22">
        <f t="shared" si="26"/>
        <v>-2781.4760762296141</v>
      </c>
      <c r="AH27" s="21">
        <f t="shared" si="26"/>
        <v>-714.48368660206688</v>
      </c>
      <c r="AI27" s="21">
        <f t="shared" si="26"/>
        <v>-632.70872636718866</v>
      </c>
      <c r="AJ27" s="21">
        <f t="shared" si="26"/>
        <v>-737.01129820268886</v>
      </c>
      <c r="AK27" s="21">
        <f t="shared" si="26"/>
        <v>-549.4013078608624</v>
      </c>
      <c r="AL27" s="22">
        <f t="shared" si="26"/>
        <v>-2633.6050190328065</v>
      </c>
      <c r="AM27" s="21">
        <f t="shared" si="26"/>
        <v>-782.81040907186832</v>
      </c>
      <c r="AN27" s="21">
        <f t="shared" si="26"/>
        <v>-689.83791219076318</v>
      </c>
      <c r="AO27" s="21">
        <f t="shared" si="26"/>
        <v>-793.51875751491127</v>
      </c>
      <c r="AP27" s="21">
        <f t="shared" si="26"/>
        <v>-796.25941506871982</v>
      </c>
      <c r="AQ27" s="22">
        <f t="shared" si="26"/>
        <v>-3062.4264938462629</v>
      </c>
      <c r="AR27" s="21">
        <f t="shared" si="26"/>
        <v>-838.81961530751948</v>
      </c>
      <c r="AS27" s="21">
        <f t="shared" si="26"/>
        <v>-739.27089520650554</v>
      </c>
      <c r="AT27" s="21">
        <f t="shared" si="26"/>
        <v>-848.26017416189552</v>
      </c>
      <c r="AU27" s="21">
        <f t="shared" si="26"/>
        <v>-851.70249915912268</v>
      </c>
      <c r="AV27" s="22">
        <f t="shared" si="26"/>
        <v>-3278.0531838350435</v>
      </c>
    </row>
    <row r="28" spans="2:48" outlineLevel="1" x14ac:dyDescent="0.3">
      <c r="B28" s="489" t="s">
        <v>287</v>
      </c>
      <c r="C28" s="490"/>
      <c r="D28" s="321"/>
      <c r="E28" s="323"/>
      <c r="F28" s="323"/>
      <c r="G28" s="323"/>
      <c r="H28" s="324"/>
      <c r="I28" s="323"/>
      <c r="J28" s="323"/>
      <c r="K28" s="323"/>
      <c r="L28" s="323"/>
      <c r="M28" s="324"/>
      <c r="N28" s="323"/>
      <c r="O28" s="323"/>
      <c r="P28" s="323"/>
      <c r="Q28" s="323"/>
      <c r="R28" s="324"/>
      <c r="S28" s="323"/>
      <c r="T28" s="323"/>
      <c r="U28" s="323"/>
      <c r="V28" s="323"/>
      <c r="W28" s="324"/>
      <c r="X28" s="323"/>
      <c r="Y28" s="323"/>
      <c r="Z28" s="323"/>
      <c r="AA28" s="323"/>
      <c r="AB28" s="324"/>
      <c r="AC28" s="323"/>
      <c r="AD28" s="323"/>
      <c r="AE28" s="323"/>
      <c r="AF28" s="323"/>
      <c r="AG28" s="324"/>
      <c r="AH28" s="323"/>
      <c r="AI28" s="323"/>
      <c r="AJ28" s="323"/>
      <c r="AK28" s="323"/>
      <c r="AL28" s="324"/>
      <c r="AM28" s="323"/>
      <c r="AN28" s="323"/>
      <c r="AO28" s="323"/>
      <c r="AP28" s="323"/>
      <c r="AQ28" s="324"/>
      <c r="AR28" s="323"/>
      <c r="AS28" s="323"/>
      <c r="AT28" s="323"/>
      <c r="AU28" s="323"/>
      <c r="AV28" s="324"/>
    </row>
    <row r="29" spans="2:48" outlineLevel="1" x14ac:dyDescent="0.3">
      <c r="B29" s="485" t="s">
        <v>264</v>
      </c>
      <c r="C29" s="486"/>
      <c r="D29" s="327">
        <v>0</v>
      </c>
      <c r="E29" s="327">
        <f>-D29</f>
        <v>0</v>
      </c>
      <c r="F29" s="327">
        <f>1996-350-E29-D29</f>
        <v>1646</v>
      </c>
      <c r="G29" s="327">
        <f>1996-F29-E29-D29</f>
        <v>350</v>
      </c>
      <c r="H29" s="328">
        <f t="shared" ref="H29:H36" si="27">SUM(D29:G29)</f>
        <v>1996</v>
      </c>
      <c r="I29" s="327">
        <v>0</v>
      </c>
      <c r="J29" s="327">
        <f>1739.7-I29</f>
        <v>1739.7</v>
      </c>
      <c r="K29" s="327">
        <f>1157.2+4727.6-J29-I29</f>
        <v>4145.1000000000004</v>
      </c>
      <c r="L29" s="327">
        <f>1406.6-K29-J29-I29</f>
        <v>-4478.2000000000007</v>
      </c>
      <c r="M29" s="328">
        <f t="shared" ref="M29:M36" si="28">SUM(I29:L29)</f>
        <v>1406.5999999999995</v>
      </c>
      <c r="N29" s="327">
        <v>192.9</v>
      </c>
      <c r="O29" s="327">
        <f>203.3-N29</f>
        <v>10.400000000000006</v>
      </c>
      <c r="P29" s="327">
        <f>215.6-O29-N29</f>
        <v>12.299999999999983</v>
      </c>
      <c r="Q29" s="327">
        <f>-296.5-P29-O29-N29</f>
        <v>-512.09999999999991</v>
      </c>
      <c r="R29" s="328">
        <f t="shared" ref="R29:R36" si="29">SUM(N29:Q29)</f>
        <v>-296.49999999999989</v>
      </c>
      <c r="S29" s="327">
        <v>200</v>
      </c>
      <c r="T29" s="327">
        <f>17.4+1498.1-S29</f>
        <v>1315.5</v>
      </c>
      <c r="U29" s="327">
        <f>200+38.9+1498.1-T29-S29</f>
        <v>221.5</v>
      </c>
      <c r="V29" s="327">
        <f>+('BS (Base-Case)'!V28-'BS (Base-Case)'!U28)+('BS (Base-Case)'!V31-'BS (Base-Case)'!U31)</f>
        <v>-199</v>
      </c>
      <c r="W29" s="328">
        <f t="shared" ref="W29:W36" si="30">SUM(S29:V29)</f>
        <v>1538</v>
      </c>
      <c r="X29" s="327">
        <f>+('BS (Base-Case)'!X28-'BS (Base-Case)'!V28)+('BS (Base-Case)'!X31-'BS (Base-Case)'!V31)</f>
        <v>0</v>
      </c>
      <c r="Y29" s="327">
        <f>+('BS (Base-Case)'!Y28-'BS (Base-Case)'!X28)+('BS (Base-Case)'!Y31-'BS (Base-Case)'!X31)</f>
        <v>0</v>
      </c>
      <c r="Z29" s="327">
        <f>+('BS (Base-Case)'!Z28-'BS (Base-Case)'!Y28)+('BS (Base-Case)'!Z31-'BS (Base-Case)'!Y31)</f>
        <v>0</v>
      </c>
      <c r="AA29" s="327">
        <f>+('BS (Base-Case)'!AA28-'BS (Base-Case)'!Z28)+('BS (Base-Case)'!AA31-'BS (Base-Case)'!Z31)</f>
        <v>0</v>
      </c>
      <c r="AB29" s="328">
        <f t="shared" ref="AB29:AB36" si="31">SUM(X29:AA29)</f>
        <v>0</v>
      </c>
      <c r="AC29" s="327">
        <f>+('BS (Base-Case)'!AC28-'BS (Base-Case)'!AA28)+('BS (Base-Case)'!AC31-'BS (Base-Case)'!AA31)</f>
        <v>0</v>
      </c>
      <c r="AD29" s="327">
        <f>+('BS (Base-Case)'!AD28-'BS (Base-Case)'!AC28)+('BS (Base-Case)'!AD31-'BS (Base-Case)'!AC31)</f>
        <v>-0.29999999999995453</v>
      </c>
      <c r="AE29" s="327">
        <f>+('BS (Base-Case)'!AE28-'BS (Base-Case)'!AD28)+('BS (Base-Case)'!AE31-'BS (Base-Case)'!AD31)</f>
        <v>0</v>
      </c>
      <c r="AF29" s="327">
        <f>+('BS (Base-Case)'!AF28-'BS (Base-Case)'!AE28)+('BS (Base-Case)'!AF31-'BS (Base-Case)'!AE31)</f>
        <v>100</v>
      </c>
      <c r="AG29" s="328">
        <f t="shared" ref="AG29:AG36" si="32">SUM(AC29:AF29)</f>
        <v>99.700000000000045</v>
      </c>
      <c r="AH29" s="327">
        <f>+('BS (Base-Case)'!AH28-'BS (Base-Case)'!AF28)+('BS (Base-Case)'!AH31-'BS (Base-Case)'!AF31)</f>
        <v>0</v>
      </c>
      <c r="AI29" s="327">
        <f>+('BS (Base-Case)'!AI28-'BS (Base-Case)'!AH28)+('BS (Base-Case)'!AI31-'BS (Base-Case)'!AH31)</f>
        <v>0</v>
      </c>
      <c r="AJ29" s="327">
        <f>+('BS (Base-Case)'!AJ28-'BS (Base-Case)'!AI28)+('BS (Base-Case)'!AJ31-'BS (Base-Case)'!AI31)</f>
        <v>5291</v>
      </c>
      <c r="AK29" s="327">
        <f>+('BS (Base-Case)'!AK28-'BS (Base-Case)'!AJ28)+('BS (Base-Case)'!AK31-'BS (Base-Case)'!AJ31)</f>
        <v>0</v>
      </c>
      <c r="AL29" s="328">
        <f t="shared" ref="AL29:AL36" si="33">SUM(AH29:AK29)</f>
        <v>5291</v>
      </c>
      <c r="AM29" s="327">
        <f>+('BS (Base-Case)'!AM28-'BS (Base-Case)'!AK28)+('BS (Base-Case)'!AM31-'BS (Base-Case)'!AK31)</f>
        <v>0</v>
      </c>
      <c r="AN29" s="327">
        <f>+('BS (Base-Case)'!AN28-'BS (Base-Case)'!AM28)+('BS (Base-Case)'!AN31-'BS (Base-Case)'!AM31)</f>
        <v>0</v>
      </c>
      <c r="AO29" s="327">
        <f>+('BS (Base-Case)'!AO28-'BS (Base-Case)'!AN28)+('BS (Base-Case)'!AO31-'BS (Base-Case)'!AN31)</f>
        <v>0</v>
      </c>
      <c r="AP29" s="327">
        <f>+('BS (Base-Case)'!AP28-'BS (Base-Case)'!AO28)+('BS (Base-Case)'!AP31-'BS (Base-Case)'!AO31)</f>
        <v>0</v>
      </c>
      <c r="AQ29" s="328">
        <f t="shared" ref="AQ29:AQ36" si="34">SUM(AM29:AP29)</f>
        <v>0</v>
      </c>
      <c r="AR29" s="327">
        <f>+('BS (Base-Case)'!AR28-'BS (Base-Case)'!AP28)+('BS (Base-Case)'!AR31-'BS (Base-Case)'!AP31)</f>
        <v>0</v>
      </c>
      <c r="AS29" s="327">
        <f>+('BS (Base-Case)'!AS28-'BS (Base-Case)'!AR28)+('BS (Base-Case)'!AS31-'BS (Base-Case)'!AR31)</f>
        <v>0</v>
      </c>
      <c r="AT29" s="327">
        <f>+('BS (Base-Case)'!AT28-'BS (Base-Case)'!AS28)+('BS (Base-Case)'!AT31-'BS (Base-Case)'!AS31)</f>
        <v>0</v>
      </c>
      <c r="AU29" s="327">
        <f>+('BS (Base-Case)'!AU28-'BS (Base-Case)'!AT28)+('BS (Base-Case)'!AU31-'BS (Base-Case)'!AT31)</f>
        <v>0</v>
      </c>
      <c r="AV29" s="328">
        <f t="shared" ref="AV29:AV36" si="35">SUM(AR29:AU29)</f>
        <v>0</v>
      </c>
    </row>
    <row r="30" spans="2:48" outlineLevel="1" x14ac:dyDescent="0.3">
      <c r="B30" s="325" t="s">
        <v>288</v>
      </c>
      <c r="C30" s="326"/>
      <c r="D30" s="327">
        <v>-350</v>
      </c>
      <c r="E30" s="327">
        <v>0</v>
      </c>
      <c r="F30" s="327">
        <f>-75-E30-D30</f>
        <v>275</v>
      </c>
      <c r="G30" s="327">
        <f>-350-F30-E30-D30</f>
        <v>-275</v>
      </c>
      <c r="H30" s="328">
        <f t="shared" si="27"/>
        <v>-350</v>
      </c>
      <c r="I30" s="327"/>
      <c r="J30" s="327">
        <f>0-I30</f>
        <v>0</v>
      </c>
      <c r="K30" s="327">
        <v>-220.7</v>
      </c>
      <c r="L30" s="327">
        <f>-967.7-K30-J30-I30</f>
        <v>-747</v>
      </c>
      <c r="M30" s="328">
        <f t="shared" si="28"/>
        <v>-967.7</v>
      </c>
      <c r="N30" s="327">
        <f>-144.7-500</f>
        <v>-644.70000000000005</v>
      </c>
      <c r="O30" s="327">
        <f>-296.5-320.5-1250-N30</f>
        <v>-1222.3</v>
      </c>
      <c r="P30" s="327">
        <f>-296.5-346.2-1250-O30-N30</f>
        <v>-25.700000000000045</v>
      </c>
      <c r="Q30" s="327">
        <f>215.1-349.8-1250-P30-O30-N30</f>
        <v>508</v>
      </c>
      <c r="R30" s="328">
        <f t="shared" si="29"/>
        <v>-1384.7</v>
      </c>
      <c r="S30" s="327"/>
      <c r="T30" s="327">
        <v>-12.6</v>
      </c>
      <c r="U30" s="327">
        <f>-38.9-1000-T30-S30</f>
        <v>-1026.3000000000002</v>
      </c>
      <c r="V30" s="327"/>
      <c r="W30" s="328">
        <f t="shared" si="30"/>
        <v>-1038.9000000000001</v>
      </c>
      <c r="X30" s="327"/>
      <c r="Y30" s="327"/>
      <c r="Z30" s="327"/>
      <c r="AA30" s="327"/>
      <c r="AB30" s="328">
        <f t="shared" si="31"/>
        <v>0</v>
      </c>
      <c r="AC30" s="327"/>
      <c r="AD30" s="327"/>
      <c r="AE30" s="327"/>
      <c r="AF30" s="327"/>
      <c r="AG30" s="328">
        <f t="shared" si="32"/>
        <v>0</v>
      </c>
      <c r="AH30" s="327"/>
      <c r="AI30" s="327"/>
      <c r="AJ30" s="327"/>
      <c r="AK30" s="327"/>
      <c r="AL30" s="328">
        <f t="shared" si="33"/>
        <v>0</v>
      </c>
      <c r="AM30" s="327"/>
      <c r="AN30" s="327"/>
      <c r="AO30" s="327"/>
      <c r="AP30" s="327"/>
      <c r="AQ30" s="328">
        <f t="shared" si="34"/>
        <v>0</v>
      </c>
      <c r="AR30" s="327"/>
      <c r="AS30" s="327"/>
      <c r="AT30" s="327"/>
      <c r="AU30" s="327"/>
      <c r="AV30" s="328">
        <f t="shared" si="35"/>
        <v>0</v>
      </c>
    </row>
    <row r="31" spans="2:48" outlineLevel="1" x14ac:dyDescent="0.3">
      <c r="B31" s="325" t="s">
        <v>289</v>
      </c>
      <c r="C31" s="326"/>
      <c r="D31" s="327"/>
      <c r="E31" s="327">
        <v>75</v>
      </c>
      <c r="F31" s="327">
        <v>0</v>
      </c>
      <c r="G31" s="327">
        <f>0-F31-E31-D31</f>
        <v>-75</v>
      </c>
      <c r="H31" s="328">
        <f t="shared" si="27"/>
        <v>0</v>
      </c>
      <c r="I31" s="327">
        <f>398.9+99</f>
        <v>497.9</v>
      </c>
      <c r="J31" s="327">
        <f>613+494.1-I31</f>
        <v>609.19999999999993</v>
      </c>
      <c r="K31" s="327">
        <f>0-J31-I31</f>
        <v>-1107.0999999999999</v>
      </c>
      <c r="L31" s="327">
        <f>4727.6-K31-J31-I31</f>
        <v>4727.6000000000013</v>
      </c>
      <c r="M31" s="328">
        <f t="shared" si="28"/>
        <v>4727.6000000000013</v>
      </c>
      <c r="N31" s="327">
        <v>0</v>
      </c>
      <c r="O31" s="327">
        <f>0-N31</f>
        <v>0</v>
      </c>
      <c r="P31" s="327">
        <f>0-O31-N31</f>
        <v>0</v>
      </c>
      <c r="Q31" s="327">
        <f>0-P31-O31-N31</f>
        <v>0</v>
      </c>
      <c r="R31" s="328">
        <f t="shared" si="29"/>
        <v>0</v>
      </c>
      <c r="S31" s="327">
        <v>0</v>
      </c>
      <c r="T31" s="327">
        <f>0-S31</f>
        <v>0</v>
      </c>
      <c r="U31" s="327">
        <f t="shared" ref="U31" si="36">0-T31-S31</f>
        <v>0</v>
      </c>
      <c r="V31" s="327"/>
      <c r="W31" s="328">
        <f t="shared" si="30"/>
        <v>0</v>
      </c>
      <c r="X31" s="327"/>
      <c r="Y31" s="327"/>
      <c r="Z31" s="327"/>
      <c r="AA31" s="327"/>
      <c r="AB31" s="328">
        <f t="shared" si="31"/>
        <v>0</v>
      </c>
      <c r="AC31" s="327"/>
      <c r="AD31" s="327"/>
      <c r="AE31" s="327"/>
      <c r="AF31" s="327"/>
      <c r="AG31" s="328">
        <f t="shared" si="32"/>
        <v>0</v>
      </c>
      <c r="AH31" s="327"/>
      <c r="AI31" s="327"/>
      <c r="AJ31" s="327"/>
      <c r="AK31" s="327"/>
      <c r="AL31" s="328">
        <f t="shared" si="33"/>
        <v>0</v>
      </c>
      <c r="AM31" s="327"/>
      <c r="AN31" s="327"/>
      <c r="AO31" s="327"/>
      <c r="AP31" s="327"/>
      <c r="AQ31" s="328">
        <f t="shared" si="34"/>
        <v>0</v>
      </c>
      <c r="AR31" s="327"/>
      <c r="AS31" s="327"/>
      <c r="AT31" s="327"/>
      <c r="AU31" s="327"/>
      <c r="AV31" s="328">
        <f t="shared" si="35"/>
        <v>0</v>
      </c>
    </row>
    <row r="32" spans="2:48" outlineLevel="1" x14ac:dyDescent="0.3">
      <c r="B32" s="325" t="s">
        <v>290</v>
      </c>
      <c r="C32" s="326"/>
      <c r="D32" s="327">
        <v>108.4</v>
      </c>
      <c r="E32" s="327">
        <f>275.7-D32</f>
        <v>167.29999999999998</v>
      </c>
      <c r="F32" s="327">
        <f>358.5-E32-D32</f>
        <v>82.800000000000011</v>
      </c>
      <c r="G32" s="327">
        <f>409.8-F32-E32-D32</f>
        <v>51.300000000000011</v>
      </c>
      <c r="H32" s="328">
        <f t="shared" si="27"/>
        <v>409.8</v>
      </c>
      <c r="I32" s="327">
        <v>33.1</v>
      </c>
      <c r="J32" s="327">
        <f>65.4-I32</f>
        <v>32.300000000000004</v>
      </c>
      <c r="K32" s="327">
        <f>98.9-J32-I32</f>
        <v>33.499999999999993</v>
      </c>
      <c r="L32" s="327">
        <f>298.8-K32-J32-I32</f>
        <v>199.9</v>
      </c>
      <c r="M32" s="328">
        <f t="shared" si="28"/>
        <v>298.8</v>
      </c>
      <c r="N32" s="327">
        <v>102.8</v>
      </c>
      <c r="O32" s="327">
        <f>134.4-N32</f>
        <v>31.600000000000009</v>
      </c>
      <c r="P32" s="327">
        <f>191.6-O32-N32</f>
        <v>57.2</v>
      </c>
      <c r="Q32" s="327">
        <f>246.2-P32-O32-N32</f>
        <v>54.59999999999998</v>
      </c>
      <c r="R32" s="328">
        <f t="shared" si="29"/>
        <v>246.2</v>
      </c>
      <c r="S32" s="327">
        <v>41.3</v>
      </c>
      <c r="T32" s="327">
        <f>56.3-S32</f>
        <v>15</v>
      </c>
      <c r="U32" s="327">
        <f>75.5-T32-S32</f>
        <v>19.200000000000003</v>
      </c>
      <c r="V32" s="327">
        <v>0</v>
      </c>
      <c r="W32" s="328">
        <f t="shared" si="30"/>
        <v>75.5</v>
      </c>
      <c r="X32" s="327">
        <v>0</v>
      </c>
      <c r="Y32" s="327">
        <v>0</v>
      </c>
      <c r="Z32" s="327">
        <v>0</v>
      </c>
      <c r="AA32" s="327">
        <v>0</v>
      </c>
      <c r="AB32" s="328">
        <f t="shared" si="31"/>
        <v>0</v>
      </c>
      <c r="AC32" s="327">
        <v>0</v>
      </c>
      <c r="AD32" s="327">
        <v>0</v>
      </c>
      <c r="AE32" s="327">
        <v>0</v>
      </c>
      <c r="AF32" s="327">
        <v>0</v>
      </c>
      <c r="AG32" s="328">
        <f t="shared" si="32"/>
        <v>0</v>
      </c>
      <c r="AH32" s="327">
        <v>0</v>
      </c>
      <c r="AI32" s="327">
        <v>0</v>
      </c>
      <c r="AJ32" s="327">
        <v>0</v>
      </c>
      <c r="AK32" s="327">
        <v>0</v>
      </c>
      <c r="AL32" s="328">
        <f t="shared" si="33"/>
        <v>0</v>
      </c>
      <c r="AM32" s="327">
        <v>0</v>
      </c>
      <c r="AN32" s="327">
        <v>0</v>
      </c>
      <c r="AO32" s="327">
        <v>0</v>
      </c>
      <c r="AP32" s="327">
        <v>0</v>
      </c>
      <c r="AQ32" s="328">
        <f t="shared" si="34"/>
        <v>0</v>
      </c>
      <c r="AR32" s="327">
        <v>0</v>
      </c>
      <c r="AS32" s="327">
        <v>0</v>
      </c>
      <c r="AT32" s="327">
        <v>0</v>
      </c>
      <c r="AU32" s="327">
        <v>0</v>
      </c>
      <c r="AV32" s="328">
        <f t="shared" si="35"/>
        <v>0</v>
      </c>
    </row>
    <row r="33" spans="2:48" outlineLevel="1" x14ac:dyDescent="0.3">
      <c r="B33" s="325" t="s">
        <v>291</v>
      </c>
      <c r="C33" s="326"/>
      <c r="D33" s="327">
        <v>-446.7</v>
      </c>
      <c r="E33" s="327">
        <f>-894.5-D33</f>
        <v>-447.8</v>
      </c>
      <c r="F33" s="327">
        <f>-1330.7-E33-D33</f>
        <v>-436.2000000000001</v>
      </c>
      <c r="G33" s="327">
        <f>-1761.3-F33-E33-D33</f>
        <v>-430.59999999999997</v>
      </c>
      <c r="H33" s="328">
        <f t="shared" si="27"/>
        <v>-1761.3</v>
      </c>
      <c r="I33" s="327">
        <v>-484.2</v>
      </c>
      <c r="J33" s="327">
        <f>-965.2-I33</f>
        <v>-481.00000000000006</v>
      </c>
      <c r="K33" s="327">
        <f>-1444.2-J33-I33</f>
        <v>-479.00000000000006</v>
      </c>
      <c r="L33" s="327">
        <f>-1923.5-K33-J33-I33</f>
        <v>-479.3</v>
      </c>
      <c r="M33" s="328">
        <f t="shared" si="28"/>
        <v>-1923.5</v>
      </c>
      <c r="N33" s="327">
        <v>-528.20000000000005</v>
      </c>
      <c r="O33" s="327">
        <f>-1058-N33</f>
        <v>-529.79999999999995</v>
      </c>
      <c r="P33" s="327">
        <f>-1588.2-O33-N33</f>
        <v>-530.20000000000005</v>
      </c>
      <c r="Q33" s="327">
        <f>-2119-P33-O33-N33</f>
        <v>-530.79999999999995</v>
      </c>
      <c r="R33" s="328">
        <f t="shared" si="29"/>
        <v>-2119</v>
      </c>
      <c r="S33" s="327">
        <v>-576</v>
      </c>
      <c r="T33" s="327">
        <f>-1139.2-S33</f>
        <v>-563.20000000000005</v>
      </c>
      <c r="U33" s="327">
        <f>-1701.1-T33-S33</f>
        <v>-561.89999999999986</v>
      </c>
      <c r="V33" s="327">
        <f>-'IS (Base-Case)'!V35*'IS (Base-Case)'!V30</f>
        <v>-591.31176300000004</v>
      </c>
      <c r="W33" s="328">
        <f t="shared" si="30"/>
        <v>-2292.4117630000001</v>
      </c>
      <c r="X33" s="327">
        <f>-'IS (Base-Case)'!X35*'IS (Base-Case)'!X30</f>
        <v>-592.49438652600008</v>
      </c>
      <c r="Y33" s="327">
        <f>-'IS (Base-Case)'!Y35*'IS (Base-Case)'!Y30</f>
        <v>-593.67937529905203</v>
      </c>
      <c r="Z33" s="327">
        <f>-'IS (Base-Case)'!Z35*'IS (Base-Case)'!Z30</f>
        <v>-594.86673404965018</v>
      </c>
      <c r="AA33" s="327">
        <f>-'IS (Base-Case)'!AA35*'IS (Base-Case)'!AA30</f>
        <v>-625.85929089363685</v>
      </c>
      <c r="AB33" s="328">
        <f t="shared" si="31"/>
        <v>-2406.8997867683393</v>
      </c>
      <c r="AC33" s="327">
        <f>-'IS (Base-Case)'!X35*'IS (Base-Case)'!X30</f>
        <v>-592.49438652600008</v>
      </c>
      <c r="AD33" s="327">
        <f>-'IS (Base-Case)'!Y35*'IS (Base-Case)'!Y30</f>
        <v>-593.67937529905203</v>
      </c>
      <c r="AE33" s="327">
        <f>-'IS (Base-Case)'!Z35*'IS (Base-Case)'!Z30</f>
        <v>-594.86673404965018</v>
      </c>
      <c r="AF33" s="327">
        <f>-'IS (Base-Case)'!AA35*'IS (Base-Case)'!AA30</f>
        <v>-625.85929089363685</v>
      </c>
      <c r="AG33" s="328">
        <f t="shared" si="32"/>
        <v>-2406.8997867683393</v>
      </c>
      <c r="AH33" s="327">
        <f>-'IS (Base-Case)'!AC35*'IS (Base-Case)'!AC30</f>
        <v>-627.11100947542411</v>
      </c>
      <c r="AI33" s="327">
        <f>-'IS (Base-Case)'!AD35*'IS (Base-Case)'!AD30</f>
        <v>-628.36523149437494</v>
      </c>
      <c r="AJ33" s="327">
        <f>-'IS (Base-Case)'!AE35*'IS (Base-Case)'!AE30</f>
        <v>-629.12813479686986</v>
      </c>
      <c r="AK33" s="327">
        <f>-'IS (Base-Case)'!AF35*'IS (Base-Case)'!AF30</f>
        <v>-661.38719210126828</v>
      </c>
      <c r="AL33" s="328">
        <f t="shared" si="33"/>
        <v>-2545.9915678679372</v>
      </c>
      <c r="AM33" s="327">
        <f>-'IS (Base-Case)'!AH35*'IS (Base-Case)'!AH30</f>
        <v>-662.21613932497689</v>
      </c>
      <c r="AN33" s="327">
        <f>-'IS (Base-Case)'!AI35*'IS (Base-Case)'!AI30</f>
        <v>-663.04674444313298</v>
      </c>
      <c r="AO33" s="327">
        <f>-'IS (Base-Case)'!AJ35*'IS (Base-Case)'!AJ30</f>
        <v>-638.73827003078475</v>
      </c>
      <c r="AP33" s="327">
        <f>-'IS (Base-Case)'!AK35*'IS (Base-Case)'!AK30</f>
        <v>-645.1002376030923</v>
      </c>
      <c r="AQ33" s="328">
        <f t="shared" si="34"/>
        <v>-2609.1013914019873</v>
      </c>
      <c r="AR33" s="327">
        <f>-'IS (Base-Case)'!AM35*'IS (Base-Case)'!AM30</f>
        <v>-645.14665698377121</v>
      </c>
      <c r="AS33" s="327">
        <f>-'IS (Base-Case)'!AN35*'IS (Base-Case)'!AN30</f>
        <v>-645.19316920321137</v>
      </c>
      <c r="AT33" s="327">
        <f>-'IS (Base-Case)'!AO35*'IS (Base-Case)'!AO30</f>
        <v>-645.23977444709055</v>
      </c>
      <c r="AU33" s="327">
        <f>-'IS (Base-Case)'!AP35*'IS (Base-Case)'!AP30</f>
        <v>-658.1922023594866</v>
      </c>
      <c r="AV33" s="328">
        <f t="shared" si="35"/>
        <v>-2593.7718029935595</v>
      </c>
    </row>
    <row r="34" spans="2:48" outlineLevel="1" x14ac:dyDescent="0.3">
      <c r="B34" s="325" t="s">
        <v>292</v>
      </c>
      <c r="C34" s="338"/>
      <c r="D34" s="327">
        <v>-5114.7</v>
      </c>
      <c r="E34" s="327">
        <f>-7827.9-D34</f>
        <v>-2713.2</v>
      </c>
      <c r="F34" s="327">
        <f>-7972.9-E34-D34</f>
        <v>-145</v>
      </c>
      <c r="G34" s="327">
        <f>-10222.3-F34-E34-D34</f>
        <v>-2249.3999999999996</v>
      </c>
      <c r="H34" s="328">
        <f t="shared" si="27"/>
        <v>-10222.299999999999</v>
      </c>
      <c r="I34" s="327">
        <v>-1091.4000000000001</v>
      </c>
      <c r="J34" s="327">
        <f>-1698.9-I34</f>
        <v>-607.5</v>
      </c>
      <c r="K34" s="327">
        <f>-1698.9-J34-I34</f>
        <v>0</v>
      </c>
      <c r="L34" s="327">
        <f>-1698.9-K34-J34-I34</f>
        <v>0</v>
      </c>
      <c r="M34" s="328">
        <f t="shared" si="28"/>
        <v>-1698.9</v>
      </c>
      <c r="N34" s="327">
        <v>0</v>
      </c>
      <c r="O34" s="327">
        <f>0-N34</f>
        <v>0</v>
      </c>
      <c r="P34" s="327">
        <f>0-O34-N34</f>
        <v>0</v>
      </c>
      <c r="Q34" s="327">
        <f>0-P34-O34-N34</f>
        <v>0</v>
      </c>
      <c r="R34" s="328">
        <f t="shared" si="29"/>
        <v>0</v>
      </c>
      <c r="S34" s="327">
        <v>-3520.9</v>
      </c>
      <c r="T34" s="327">
        <f>-3997.5-S34</f>
        <v>-476.59999999999991</v>
      </c>
      <c r="U34" s="327">
        <f>-4013-T34-S34</f>
        <v>-15.5</v>
      </c>
      <c r="V34" s="327">
        <f>-'IS (Base-Case)'!V154</f>
        <v>0</v>
      </c>
      <c r="W34" s="328">
        <f t="shared" si="30"/>
        <v>-4013</v>
      </c>
      <c r="X34" s="327">
        <f>-'IS (Base-Case)'!X154</f>
        <v>0</v>
      </c>
      <c r="Y34" s="327">
        <f>-'IS (Base-Case)'!Y154</f>
        <v>0</v>
      </c>
      <c r="Z34" s="327">
        <f>-'IS (Base-Case)'!Z154</f>
        <v>0</v>
      </c>
      <c r="AA34" s="327">
        <f>-'IS (Base-Case)'!AA154</f>
        <v>0</v>
      </c>
      <c r="AB34" s="328">
        <f t="shared" si="31"/>
        <v>0</v>
      </c>
      <c r="AC34" s="327">
        <f>-'IS (Base-Case)'!AC154</f>
        <v>0</v>
      </c>
      <c r="AD34" s="327">
        <f>-'IS (Base-Case)'!AD154</f>
        <v>0</v>
      </c>
      <c r="AE34" s="327">
        <f>-'IS (Base-Case)'!AE154</f>
        <v>-100</v>
      </c>
      <c r="AF34" s="327">
        <f>-'IS (Base-Case)'!AF154</f>
        <v>-100</v>
      </c>
      <c r="AG34" s="328">
        <f t="shared" si="32"/>
        <v>-200</v>
      </c>
      <c r="AH34" s="327">
        <f>-'IS (Base-Case)'!AH154</f>
        <v>-100</v>
      </c>
      <c r="AI34" s="327">
        <f>-'IS (Base-Case)'!AI154</f>
        <v>-100</v>
      </c>
      <c r="AJ34" s="327">
        <f>-'IS (Base-Case)'!AJ154</f>
        <v>-5191</v>
      </c>
      <c r="AK34" s="327">
        <f>-'IS (Base-Case)'!AK154</f>
        <v>-5191</v>
      </c>
      <c r="AL34" s="328">
        <f t="shared" si="33"/>
        <v>-10582</v>
      </c>
      <c r="AM34" s="327">
        <f>-'IS (Base-Case)'!AM154</f>
        <v>-250</v>
      </c>
      <c r="AN34" s="327">
        <f>-'IS (Base-Case)'!AN154</f>
        <v>-250</v>
      </c>
      <c r="AO34" s="327">
        <f>-'IS (Base-Case)'!AO154</f>
        <v>-250</v>
      </c>
      <c r="AP34" s="327">
        <f>-'IS (Base-Case)'!AP154</f>
        <v>-250</v>
      </c>
      <c r="AQ34" s="328">
        <f t="shared" si="34"/>
        <v>-1000</v>
      </c>
      <c r="AR34" s="327">
        <f>-'IS (Base-Case)'!AR154</f>
        <v>-250</v>
      </c>
      <c r="AS34" s="327">
        <f>-'IS (Base-Case)'!AS154</f>
        <v>-250</v>
      </c>
      <c r="AT34" s="327">
        <f>-'IS (Base-Case)'!AT154</f>
        <v>-250</v>
      </c>
      <c r="AU34" s="327">
        <f>-'IS (Base-Case)'!AU154</f>
        <v>-250</v>
      </c>
      <c r="AV34" s="328">
        <f t="shared" si="35"/>
        <v>-1000</v>
      </c>
    </row>
    <row r="35" spans="2:48" outlineLevel="1" x14ac:dyDescent="0.3">
      <c r="B35" s="325" t="s">
        <v>293</v>
      </c>
      <c r="C35" s="339"/>
      <c r="D35" s="327">
        <v>-55.3</v>
      </c>
      <c r="E35" s="327">
        <f>-56.3-D35</f>
        <v>-1</v>
      </c>
      <c r="F35" s="327">
        <f>-106.1-E35-D35</f>
        <v>-49.8</v>
      </c>
      <c r="G35" s="327">
        <f>-111.6-F35-E35-D35</f>
        <v>-5.5</v>
      </c>
      <c r="H35" s="328">
        <f t="shared" si="27"/>
        <v>-111.6</v>
      </c>
      <c r="I35" s="327">
        <v>-78.400000000000006</v>
      </c>
      <c r="J35" s="327">
        <f>-87.6-I35</f>
        <v>-9.1999999999999886</v>
      </c>
      <c r="K35" s="327">
        <f>-89.1-J35-I35</f>
        <v>-1.5</v>
      </c>
      <c r="L35" s="327">
        <f>-91.9-K35-J35-I35</f>
        <v>-2.8000000000000114</v>
      </c>
      <c r="M35" s="328">
        <f t="shared" si="28"/>
        <v>-91.9</v>
      </c>
      <c r="N35" s="327">
        <v>-88.6</v>
      </c>
      <c r="O35" s="327">
        <f>-90.1-N35</f>
        <v>-1.5</v>
      </c>
      <c r="P35" s="327">
        <f>-94.2-O35-N35</f>
        <v>-4.1000000000000085</v>
      </c>
      <c r="Q35" s="327">
        <f>-97-P35-O35-N35</f>
        <v>-2.7999999999999972</v>
      </c>
      <c r="R35" s="328">
        <f t="shared" si="29"/>
        <v>-97</v>
      </c>
      <c r="S35" s="327">
        <v>-113.6</v>
      </c>
      <c r="T35" s="327">
        <f>-122.1-S35</f>
        <v>-8.5</v>
      </c>
      <c r="U35" s="327">
        <f>-123.5-T35-S35</f>
        <v>-1.4000000000000057</v>
      </c>
      <c r="V35" s="327">
        <f>(U35/U12)*V12</f>
        <v>-1.706455238723249</v>
      </c>
      <c r="W35" s="328">
        <f t="shared" si="30"/>
        <v>-125.20645523872325</v>
      </c>
      <c r="X35" s="327">
        <f>(V35/V12)*X12</f>
        <v>-1.8170877282208633</v>
      </c>
      <c r="Y35" s="327">
        <f>(X35/X12)*Y12</f>
        <v>-1.5902113538135656</v>
      </c>
      <c r="Z35" s="327">
        <f>(Y35/Y12)*Z12</f>
        <v>-1.7847911801029732</v>
      </c>
      <c r="AA35" s="327">
        <f>(Z35/Z12)*AA12</f>
        <v>-1.8779040714545581</v>
      </c>
      <c r="AB35" s="328">
        <f t="shared" si="31"/>
        <v>-7.0699943335919597</v>
      </c>
      <c r="AC35" s="327">
        <f>(AA35/AA12)*AC12</f>
        <v>-1.9304189608151356</v>
      </c>
      <c r="AD35" s="327">
        <f>(AC35/AC12)*AD12</f>
        <v>-1.7990045785246953</v>
      </c>
      <c r="AE35" s="327">
        <f>(AD35/AD12)*AE12</f>
        <v>-1.9867579998491471</v>
      </c>
      <c r="AF35" s="327">
        <f>(AE35/AE12)*AF12</f>
        <v>-2.0450373404597397</v>
      </c>
      <c r="AG35" s="328">
        <f t="shared" si="32"/>
        <v>-7.7612188796487178</v>
      </c>
      <c r="AH35" s="327">
        <f>(AF35/AF12)*AH12</f>
        <v>-2.1396984029843038</v>
      </c>
      <c r="AI35" s="327">
        <f>(AH35/AH12)*AI12</f>
        <v>-2.0183452702814919</v>
      </c>
      <c r="AJ35" s="327">
        <f>(AI35/AI12)*AJ12</f>
        <v>-2.2172441106674787</v>
      </c>
      <c r="AK35" s="327">
        <f>(AJ35/AJ12)*AK12</f>
        <v>-2.2796788713133922</v>
      </c>
      <c r="AL35" s="328">
        <f t="shared" si="33"/>
        <v>-8.6549666552466675</v>
      </c>
      <c r="AM35" s="327">
        <f>(AK35/AK12)*AM12</f>
        <v>-2.3532796293290499</v>
      </c>
      <c r="AN35" s="327">
        <f>(AM35/AM12)*AN12</f>
        <v>-2.211826158542765</v>
      </c>
      <c r="AO35" s="327">
        <f>(AN35/AN12)*AO12</f>
        <v>-2.4175896125987064</v>
      </c>
      <c r="AP35" s="327">
        <f>(AO35/AO12)*AP12</f>
        <v>-2.4776014238016439</v>
      </c>
      <c r="AQ35" s="328">
        <f t="shared" si="34"/>
        <v>-9.4602968242721648</v>
      </c>
      <c r="AR35" s="327">
        <f>(AP35/AP12)*AR12</f>
        <v>-2.5065710929698608</v>
      </c>
      <c r="AS35" s="327">
        <f>(AR35/AR12)*AS12</f>
        <v>-2.3544113321375053</v>
      </c>
      <c r="AT35" s="327">
        <f>(AS35/AS12)*AT12</f>
        <v>-2.5722420009011659</v>
      </c>
      <c r="AU35" s="327">
        <f>(AT35/AT12)*AU12</f>
        <v>-2.6368924534286768</v>
      </c>
      <c r="AV35" s="328">
        <f t="shared" si="35"/>
        <v>-10.07011687943721</v>
      </c>
    </row>
    <row r="36" spans="2:48" ht="16.2" outlineLevel="1" x14ac:dyDescent="0.45">
      <c r="B36" s="485" t="s">
        <v>294</v>
      </c>
      <c r="C36" s="486"/>
      <c r="D36" s="329">
        <v>-0.3</v>
      </c>
      <c r="E36" s="329">
        <f>0.1-D36</f>
        <v>0.4</v>
      </c>
      <c r="F36" s="329">
        <f>-17.6-E36-D36</f>
        <v>-17.7</v>
      </c>
      <c r="G36" s="329">
        <f>-17.5-F36-E36-D36</f>
        <v>9.9999999999999256E-2</v>
      </c>
      <c r="H36" s="330">
        <f t="shared" si="27"/>
        <v>-17.5</v>
      </c>
      <c r="I36" s="329">
        <v>0</v>
      </c>
      <c r="J36" s="329">
        <f>-10.4-I36</f>
        <v>-10.4</v>
      </c>
      <c r="K36" s="329">
        <f>-37.8-J36-I36</f>
        <v>-27.4</v>
      </c>
      <c r="L36" s="329">
        <f>-37.7-K36-J36-I36</f>
        <v>9.9999999999996092E-2</v>
      </c>
      <c r="M36" s="330">
        <f t="shared" si="28"/>
        <v>-37.700000000000003</v>
      </c>
      <c r="N36" s="329">
        <v>0</v>
      </c>
      <c r="O36" s="329">
        <f>0-N36</f>
        <v>0</v>
      </c>
      <c r="P36" s="329">
        <f>0-O36-N36</f>
        <v>0</v>
      </c>
      <c r="Q36" s="329">
        <f>0-P36-O36-N36</f>
        <v>0</v>
      </c>
      <c r="R36" s="330">
        <f t="shared" si="29"/>
        <v>0</v>
      </c>
      <c r="S36" s="329">
        <v>0</v>
      </c>
      <c r="T36" s="329">
        <f>-9.2-S36</f>
        <v>-9.1999999999999993</v>
      </c>
      <c r="U36" s="329">
        <f>-9.2-T36-S36</f>
        <v>0</v>
      </c>
      <c r="V36" s="329">
        <v>0</v>
      </c>
      <c r="W36" s="330">
        <f t="shared" si="30"/>
        <v>-9.1999999999999993</v>
      </c>
      <c r="X36" s="329">
        <v>0</v>
      </c>
      <c r="Y36" s="329">
        <v>0</v>
      </c>
      <c r="Z36" s="329">
        <v>0</v>
      </c>
      <c r="AA36" s="329">
        <v>0</v>
      </c>
      <c r="AB36" s="330">
        <f t="shared" si="31"/>
        <v>0</v>
      </c>
      <c r="AC36" s="329">
        <v>0</v>
      </c>
      <c r="AD36" s="329">
        <v>0</v>
      </c>
      <c r="AE36" s="329">
        <v>0</v>
      </c>
      <c r="AF36" s="329">
        <v>0</v>
      </c>
      <c r="AG36" s="330">
        <f t="shared" si="32"/>
        <v>0</v>
      </c>
      <c r="AH36" s="329">
        <v>0</v>
      </c>
      <c r="AI36" s="329">
        <v>0</v>
      </c>
      <c r="AJ36" s="329">
        <v>0</v>
      </c>
      <c r="AK36" s="329">
        <v>0</v>
      </c>
      <c r="AL36" s="330">
        <f t="shared" si="33"/>
        <v>0</v>
      </c>
      <c r="AM36" s="329">
        <v>0</v>
      </c>
      <c r="AN36" s="329">
        <v>0</v>
      </c>
      <c r="AO36" s="329">
        <v>0</v>
      </c>
      <c r="AP36" s="329">
        <v>0</v>
      </c>
      <c r="AQ36" s="330">
        <f t="shared" si="34"/>
        <v>0</v>
      </c>
      <c r="AR36" s="329">
        <v>0</v>
      </c>
      <c r="AS36" s="329">
        <v>0</v>
      </c>
      <c r="AT36" s="329">
        <v>0</v>
      </c>
      <c r="AU36" s="329">
        <v>0</v>
      </c>
      <c r="AV36" s="330">
        <f t="shared" si="35"/>
        <v>0</v>
      </c>
    </row>
    <row r="37" spans="2:48" outlineLevel="1" x14ac:dyDescent="0.3">
      <c r="B37" s="487" t="s">
        <v>295</v>
      </c>
      <c r="C37" s="488"/>
      <c r="D37" s="331">
        <f t="shared" ref="D37:AV37" si="37">SUM(D29:D36)</f>
        <v>-5858.6</v>
      </c>
      <c r="E37" s="331">
        <f t="shared" si="37"/>
        <v>-2919.2999999999997</v>
      </c>
      <c r="F37" s="331">
        <f t="shared" si="37"/>
        <v>1355.1</v>
      </c>
      <c r="G37" s="331">
        <f t="shared" si="37"/>
        <v>-2634.1</v>
      </c>
      <c r="H37" s="332">
        <f t="shared" si="37"/>
        <v>-10056.9</v>
      </c>
      <c r="I37" s="331">
        <f t="shared" si="37"/>
        <v>-1123.0000000000002</v>
      </c>
      <c r="J37" s="331">
        <f t="shared" si="37"/>
        <v>1273.1000000000001</v>
      </c>
      <c r="K37" s="331">
        <f t="shared" si="37"/>
        <v>2342.9000000000005</v>
      </c>
      <c r="L37" s="331">
        <f t="shared" si="37"/>
        <v>-779.69999999999948</v>
      </c>
      <c r="M37" s="332">
        <f t="shared" si="37"/>
        <v>1713.3000000000009</v>
      </c>
      <c r="N37" s="331">
        <f t="shared" si="37"/>
        <v>-965.80000000000007</v>
      </c>
      <c r="O37" s="331">
        <f t="shared" si="37"/>
        <v>-1711.6</v>
      </c>
      <c r="P37" s="331">
        <f t="shared" si="37"/>
        <v>-490.50000000000011</v>
      </c>
      <c r="Q37" s="331">
        <f t="shared" si="37"/>
        <v>-483.09999999999991</v>
      </c>
      <c r="R37" s="332">
        <f t="shared" si="37"/>
        <v>-3651</v>
      </c>
      <c r="S37" s="331">
        <f t="shared" si="37"/>
        <v>-3969.2</v>
      </c>
      <c r="T37" s="331">
        <f t="shared" si="37"/>
        <v>260.40000000000015</v>
      </c>
      <c r="U37" s="331">
        <f t="shared" si="37"/>
        <v>-1364.4</v>
      </c>
      <c r="V37" s="331">
        <f t="shared" si="37"/>
        <v>-792.01821823872331</v>
      </c>
      <c r="W37" s="332">
        <f t="shared" si="37"/>
        <v>-5865.2182182387223</v>
      </c>
      <c r="X37" s="331">
        <f t="shared" si="37"/>
        <v>-594.31147425422091</v>
      </c>
      <c r="Y37" s="331">
        <f t="shared" si="37"/>
        <v>-595.26958665286554</v>
      </c>
      <c r="Z37" s="331">
        <f t="shared" si="37"/>
        <v>-596.65152522975313</v>
      </c>
      <c r="AA37" s="331">
        <f t="shared" si="37"/>
        <v>-627.73719496509136</v>
      </c>
      <c r="AB37" s="332">
        <f t="shared" si="37"/>
        <v>-2413.9697811019314</v>
      </c>
      <c r="AC37" s="331">
        <f t="shared" si="37"/>
        <v>-594.42480548681522</v>
      </c>
      <c r="AD37" s="331">
        <f t="shared" si="37"/>
        <v>-595.77837987757664</v>
      </c>
      <c r="AE37" s="331">
        <f t="shared" si="37"/>
        <v>-696.85349204949932</v>
      </c>
      <c r="AF37" s="331">
        <f t="shared" si="37"/>
        <v>-627.90432823409662</v>
      </c>
      <c r="AG37" s="332">
        <f t="shared" si="37"/>
        <v>-2514.9610056479883</v>
      </c>
      <c r="AH37" s="331">
        <f t="shared" si="37"/>
        <v>-729.25070787840843</v>
      </c>
      <c r="AI37" s="331">
        <f t="shared" si="37"/>
        <v>-730.38357676465648</v>
      </c>
      <c r="AJ37" s="331">
        <f t="shared" si="37"/>
        <v>-531.34537890753722</v>
      </c>
      <c r="AK37" s="331">
        <f t="shared" si="37"/>
        <v>-5854.6668709725818</v>
      </c>
      <c r="AL37" s="332">
        <f t="shared" si="37"/>
        <v>-7845.6465345231836</v>
      </c>
      <c r="AM37" s="331">
        <f t="shared" si="37"/>
        <v>-914.56941895430589</v>
      </c>
      <c r="AN37" s="331">
        <f t="shared" si="37"/>
        <v>-915.25857060167573</v>
      </c>
      <c r="AO37" s="331">
        <f t="shared" si="37"/>
        <v>-891.15585964338345</v>
      </c>
      <c r="AP37" s="331">
        <f t="shared" si="37"/>
        <v>-897.57783902689391</v>
      </c>
      <c r="AQ37" s="332">
        <f t="shared" si="37"/>
        <v>-3618.5616882262593</v>
      </c>
      <c r="AR37" s="331">
        <f t="shared" si="37"/>
        <v>-897.65322807674102</v>
      </c>
      <c r="AS37" s="331">
        <f t="shared" si="37"/>
        <v>-897.54758053534886</v>
      </c>
      <c r="AT37" s="331">
        <f t="shared" si="37"/>
        <v>-897.81201644799171</v>
      </c>
      <c r="AU37" s="331">
        <f t="shared" si="37"/>
        <v>-910.82909481291529</v>
      </c>
      <c r="AV37" s="332">
        <f t="shared" si="37"/>
        <v>-3603.8419198729966</v>
      </c>
    </row>
    <row r="38" spans="2:48" outlineLevel="1" x14ac:dyDescent="0.3">
      <c r="B38" s="248" t="s">
        <v>296</v>
      </c>
      <c r="C38" s="249"/>
      <c r="D38" s="333">
        <f>-4.7-0.1</f>
        <v>-4.8</v>
      </c>
      <c r="E38" s="340">
        <f>18.3-0.1-D38</f>
        <v>23</v>
      </c>
      <c r="F38" s="340">
        <f>-2.5-E38-D38</f>
        <v>-20.7</v>
      </c>
      <c r="G38" s="340">
        <f>-49-F38-E38-D38</f>
        <v>-46.5</v>
      </c>
      <c r="H38" s="337">
        <f>SUM(D38:G38)</f>
        <v>-49</v>
      </c>
      <c r="I38" s="340">
        <v>27.1</v>
      </c>
      <c r="J38" s="340">
        <f>8.7-I38</f>
        <v>-18.400000000000002</v>
      </c>
      <c r="K38" s="340">
        <f>10.9-J38-I38</f>
        <v>2.2000000000000028</v>
      </c>
      <c r="L38" s="340">
        <f>64.7-K38-J38-I38</f>
        <v>53.800000000000004</v>
      </c>
      <c r="M38" s="337">
        <f>SUM(I38:L38)</f>
        <v>64.7</v>
      </c>
      <c r="N38" s="340">
        <v>79.8</v>
      </c>
      <c r="O38" s="340">
        <f>66.7-N38</f>
        <v>-13.099999999999994</v>
      </c>
      <c r="P38" s="340">
        <f>87.9-O38-N38</f>
        <v>21.200000000000003</v>
      </c>
      <c r="Q38" s="340">
        <f>86.2-P38-O38-N38</f>
        <v>-1.7000000000000028</v>
      </c>
      <c r="R38" s="337">
        <f>SUM(N38:Q38)</f>
        <v>86.2</v>
      </c>
      <c r="S38" s="340">
        <v>13</v>
      </c>
      <c r="T38" s="340">
        <f>14.6-S38</f>
        <v>1.5999999999999996</v>
      </c>
      <c r="U38" s="340">
        <f>-126.3-T38-S38</f>
        <v>-140.89999999999998</v>
      </c>
      <c r="V38" s="341">
        <v>0</v>
      </c>
      <c r="W38" s="337">
        <f>SUM(S38:V38)</f>
        <v>-126.29999999999998</v>
      </c>
      <c r="X38" s="341">
        <v>0</v>
      </c>
      <c r="Y38" s="341">
        <v>0</v>
      </c>
      <c r="Z38" s="341">
        <v>0</v>
      </c>
      <c r="AA38" s="341">
        <v>0</v>
      </c>
      <c r="AB38" s="337">
        <f>SUM(X38:AA38)</f>
        <v>0</v>
      </c>
      <c r="AC38" s="341">
        <v>0</v>
      </c>
      <c r="AD38" s="341">
        <v>0</v>
      </c>
      <c r="AE38" s="341">
        <v>0</v>
      </c>
      <c r="AF38" s="341">
        <v>0</v>
      </c>
      <c r="AG38" s="337">
        <f>SUM(AC38:AF38)</f>
        <v>0</v>
      </c>
      <c r="AH38" s="341">
        <v>0</v>
      </c>
      <c r="AI38" s="341">
        <v>0</v>
      </c>
      <c r="AJ38" s="341">
        <v>0</v>
      </c>
      <c r="AK38" s="341">
        <v>0</v>
      </c>
      <c r="AL38" s="337">
        <f>SUM(AH38:AK38)</f>
        <v>0</v>
      </c>
      <c r="AM38" s="341">
        <v>0</v>
      </c>
      <c r="AN38" s="341">
        <v>0</v>
      </c>
      <c r="AO38" s="341">
        <v>0</v>
      </c>
      <c r="AP38" s="341">
        <v>0</v>
      </c>
      <c r="AQ38" s="337">
        <f>SUM(AM38:AP38)</f>
        <v>0</v>
      </c>
      <c r="AR38" s="341">
        <v>0</v>
      </c>
      <c r="AS38" s="341">
        <v>0</v>
      </c>
      <c r="AT38" s="341">
        <v>0</v>
      </c>
      <c r="AU38" s="341">
        <v>0</v>
      </c>
      <c r="AV38" s="337">
        <f>SUM(AR38:AU38)</f>
        <v>0</v>
      </c>
    </row>
    <row r="39" spans="2:48" ht="16.2" outlineLevel="1" x14ac:dyDescent="0.45">
      <c r="B39" s="435" t="s">
        <v>297</v>
      </c>
      <c r="C39" s="436"/>
      <c r="D39" s="260">
        <f t="shared" ref="D39:AV39" si="38">D37+D27+D22+D38</f>
        <v>-3994.7999999999997</v>
      </c>
      <c r="E39" s="260">
        <f t="shared" si="38"/>
        <v>-2706.5</v>
      </c>
      <c r="F39" s="260">
        <f t="shared" si="38"/>
        <v>2708.3000000000011</v>
      </c>
      <c r="G39" s="260">
        <f t="shared" si="38"/>
        <v>-2076.7999999999993</v>
      </c>
      <c r="H39" s="261">
        <f t="shared" si="38"/>
        <v>-6069.7999999999938</v>
      </c>
      <c r="I39" s="260">
        <f t="shared" si="38"/>
        <v>353.89999999999839</v>
      </c>
      <c r="J39" s="260">
        <f t="shared" si="38"/>
        <v>-468.20000000000061</v>
      </c>
      <c r="K39" s="260">
        <f t="shared" si="38"/>
        <v>1393.600000000001</v>
      </c>
      <c r="L39" s="260">
        <f t="shared" si="38"/>
        <v>385.0000000000021</v>
      </c>
      <c r="M39" s="261">
        <f t="shared" si="38"/>
        <v>1664.3000000000052</v>
      </c>
      <c r="N39" s="260">
        <f t="shared" si="38"/>
        <v>677.2</v>
      </c>
      <c r="O39" s="260">
        <f t="shared" si="38"/>
        <v>-1147.3999999999996</v>
      </c>
      <c r="P39" s="260">
        <f t="shared" si="38"/>
        <v>872.49999999999909</v>
      </c>
      <c r="Q39" s="260">
        <f t="shared" si="38"/>
        <v>1702.5999999999997</v>
      </c>
      <c r="R39" s="261">
        <f t="shared" si="38"/>
        <v>2104.8999999999978</v>
      </c>
      <c r="S39" s="260">
        <f t="shared" si="38"/>
        <v>-2486.3000000000002</v>
      </c>
      <c r="T39" s="260">
        <f t="shared" si="38"/>
        <v>-55.999999999999567</v>
      </c>
      <c r="U39" s="260">
        <f t="shared" si="38"/>
        <v>-735.90000000000089</v>
      </c>
      <c r="V39" s="260">
        <f t="shared" si="38"/>
        <v>75.199344839386868</v>
      </c>
      <c r="W39" s="261">
        <f>W37+W27+W22+W38</f>
        <v>-3203.000655160612</v>
      </c>
      <c r="X39" s="260">
        <f>X37+X27+X22+X38</f>
        <v>413.36205947848089</v>
      </c>
      <c r="Y39" s="260">
        <f t="shared" si="38"/>
        <v>-504.06967509361505</v>
      </c>
      <c r="Z39" s="260">
        <f t="shared" si="38"/>
        <v>-241.67507444569651</v>
      </c>
      <c r="AA39" s="260">
        <f t="shared" si="38"/>
        <v>595.94976587252518</v>
      </c>
      <c r="AB39" s="261">
        <f t="shared" si="38"/>
        <v>263.56707581169485</v>
      </c>
      <c r="AC39" s="260">
        <f t="shared" si="38"/>
        <v>794.56698255121864</v>
      </c>
      <c r="AD39" s="260">
        <f t="shared" si="38"/>
        <v>-241.03592446872005</v>
      </c>
      <c r="AE39" s="260">
        <f t="shared" si="38"/>
        <v>32.322143833818473</v>
      </c>
      <c r="AF39" s="260">
        <f t="shared" si="38"/>
        <v>543.05717374701817</v>
      </c>
      <c r="AG39" s="261">
        <f t="shared" si="38"/>
        <v>1128.910375663334</v>
      </c>
      <c r="AH39" s="260">
        <f t="shared" si="38"/>
        <v>871.45123147054255</v>
      </c>
      <c r="AI39" s="260">
        <f t="shared" si="38"/>
        <v>-239.28192650512619</v>
      </c>
      <c r="AJ39" s="260">
        <f t="shared" si="38"/>
        <v>354.52945475469687</v>
      </c>
      <c r="AK39" s="260">
        <f t="shared" si="38"/>
        <v>-4203.2344067392714</v>
      </c>
      <c r="AL39" s="261">
        <f t="shared" si="38"/>
        <v>-3216.5356470191582</v>
      </c>
      <c r="AM39" s="260">
        <f t="shared" si="38"/>
        <v>883.85081909746191</v>
      </c>
      <c r="AN39" s="260">
        <f t="shared" si="38"/>
        <v>-380.8126227933933</v>
      </c>
      <c r="AO39" s="260">
        <f t="shared" si="38"/>
        <v>50.321141559140642</v>
      </c>
      <c r="AP39" s="260">
        <f t="shared" si="38"/>
        <v>726.17646498006479</v>
      </c>
      <c r="AQ39" s="261">
        <f t="shared" si="38"/>
        <v>1279.5358028432729</v>
      </c>
      <c r="AR39" s="260">
        <f t="shared" si="38"/>
        <v>1087.0414944744039</v>
      </c>
      <c r="AS39" s="260">
        <f t="shared" si="38"/>
        <v>-296.78667952962383</v>
      </c>
      <c r="AT39" s="260">
        <f t="shared" si="38"/>
        <v>174.32438607282643</v>
      </c>
      <c r="AU39" s="260">
        <f t="shared" si="38"/>
        <v>799.72163578764093</v>
      </c>
      <c r="AV39" s="261">
        <f t="shared" si="38"/>
        <v>1764.3008368052469</v>
      </c>
    </row>
    <row r="40" spans="2:48" ht="16.2" outlineLevel="1" x14ac:dyDescent="0.45">
      <c r="B40" s="435" t="s">
        <v>298</v>
      </c>
      <c r="C40" s="436"/>
      <c r="D40" s="260">
        <v>8756.2999999999993</v>
      </c>
      <c r="E40" s="260">
        <f>D41</f>
        <v>4761.6000000000004</v>
      </c>
      <c r="F40" s="260">
        <f>E41</f>
        <v>2055.1000000000004</v>
      </c>
      <c r="G40" s="260">
        <f>F41</f>
        <v>4763.4000000000015</v>
      </c>
      <c r="H40" s="261">
        <f>D40</f>
        <v>8756.2999999999993</v>
      </c>
      <c r="I40" s="112">
        <f>H41</f>
        <v>2686.5000000000055</v>
      </c>
      <c r="J40" s="260">
        <f>I41</f>
        <v>3040.5000000000036</v>
      </c>
      <c r="K40" s="260">
        <f>J41</f>
        <v>2572.3000000000029</v>
      </c>
      <c r="L40" s="260">
        <f>K41</f>
        <v>3965.9000000000042</v>
      </c>
      <c r="M40" s="261">
        <f>H41</f>
        <v>2686.5000000000055</v>
      </c>
      <c r="N40" s="260">
        <f>+M41</f>
        <v>4350.8000000000102</v>
      </c>
      <c r="O40" s="260">
        <f>N41</f>
        <v>5028.00000000001</v>
      </c>
      <c r="P40" s="260">
        <f>O41</f>
        <v>3880.6000000000104</v>
      </c>
      <c r="Q40" s="260">
        <f>P41</f>
        <v>4753.1000000000095</v>
      </c>
      <c r="R40" s="261">
        <f>M41</f>
        <v>4350.8000000000102</v>
      </c>
      <c r="S40" s="260">
        <f>+R41</f>
        <v>6455.700000000008</v>
      </c>
      <c r="T40" s="260">
        <f>S41</f>
        <v>3969.4000000000078</v>
      </c>
      <c r="U40" s="260">
        <f>T41</f>
        <v>3913.4000000000083</v>
      </c>
      <c r="V40" s="260">
        <f>U41</f>
        <v>3177.5000000000073</v>
      </c>
      <c r="W40" s="261">
        <f>R41</f>
        <v>6455.700000000008</v>
      </c>
      <c r="X40" s="260">
        <f>+W41</f>
        <v>3252.699344839396</v>
      </c>
      <c r="Y40" s="260">
        <f>X41</f>
        <v>3666.0614043178766</v>
      </c>
      <c r="Z40" s="260">
        <f>Y41</f>
        <v>3161.9917292242617</v>
      </c>
      <c r="AA40" s="260">
        <f>Z41</f>
        <v>2920.316654778565</v>
      </c>
      <c r="AB40" s="261">
        <f>W41</f>
        <v>3252.699344839396</v>
      </c>
      <c r="AC40" s="260">
        <f>+AB41</f>
        <v>3516.2664206510908</v>
      </c>
      <c r="AD40" s="260">
        <f>AC41</f>
        <v>4310.8334032023095</v>
      </c>
      <c r="AE40" s="260">
        <f>AD41</f>
        <v>4069.7974787335893</v>
      </c>
      <c r="AF40" s="260">
        <f>AE41</f>
        <v>4102.1196225674075</v>
      </c>
      <c r="AG40" s="261">
        <f>AB41</f>
        <v>3516.2664206510908</v>
      </c>
      <c r="AH40" s="260">
        <f>+AG41</f>
        <v>4645.1767963144248</v>
      </c>
      <c r="AI40" s="260">
        <f>AH41</f>
        <v>5516.6280277849673</v>
      </c>
      <c r="AJ40" s="260">
        <f>AI41</f>
        <v>5277.3461012798416</v>
      </c>
      <c r="AK40" s="260">
        <f>AJ41</f>
        <v>5631.875556034538</v>
      </c>
      <c r="AL40" s="261">
        <f>AG41</f>
        <v>4645.1767963144248</v>
      </c>
      <c r="AM40" s="260">
        <f>+AL41</f>
        <v>1428.6411492952666</v>
      </c>
      <c r="AN40" s="260">
        <f>AM41</f>
        <v>2312.4919683927283</v>
      </c>
      <c r="AO40" s="260">
        <f>AN41</f>
        <v>1931.679345599335</v>
      </c>
      <c r="AP40" s="260">
        <f>AO41</f>
        <v>1982.0004871584756</v>
      </c>
      <c r="AQ40" s="261">
        <f>AL41</f>
        <v>1428.6411492952666</v>
      </c>
      <c r="AR40" s="260">
        <f>+AQ41</f>
        <v>2708.1769521385395</v>
      </c>
      <c r="AS40" s="260">
        <f>AR41</f>
        <v>3795.2184466129434</v>
      </c>
      <c r="AT40" s="260">
        <f>AS41</f>
        <v>3498.4317670833198</v>
      </c>
      <c r="AU40" s="260">
        <f>AT41</f>
        <v>3672.756153156146</v>
      </c>
      <c r="AV40" s="261">
        <f>AQ41</f>
        <v>2708.1769521385395</v>
      </c>
    </row>
    <row r="41" spans="2:48" outlineLevel="1" x14ac:dyDescent="0.3">
      <c r="B41" s="476" t="s">
        <v>299</v>
      </c>
      <c r="C41" s="477"/>
      <c r="D41" s="116">
        <f>+D40+D39+0.1</f>
        <v>4761.6000000000004</v>
      </c>
      <c r="E41" s="116">
        <f>+E40+E39</f>
        <v>2055.1000000000004</v>
      </c>
      <c r="F41" s="116">
        <f>+F40+F39</f>
        <v>4763.4000000000015</v>
      </c>
      <c r="G41" s="116">
        <f>+G40+G39</f>
        <v>2686.6000000000022</v>
      </c>
      <c r="H41" s="150">
        <f>+D40+H39</f>
        <v>2686.5000000000055</v>
      </c>
      <c r="I41" s="116">
        <f>+I40+I39+0.1</f>
        <v>3040.5000000000036</v>
      </c>
      <c r="J41" s="116">
        <f>+J40+J39</f>
        <v>2572.3000000000029</v>
      </c>
      <c r="K41" s="116">
        <f>+K40+K39</f>
        <v>3965.9000000000042</v>
      </c>
      <c r="L41" s="21">
        <f>+L40+L39</f>
        <v>4350.900000000006</v>
      </c>
      <c r="M41" s="22">
        <f>+I40+M39</f>
        <v>4350.8000000000102</v>
      </c>
      <c r="N41" s="21">
        <f>+N40+N39</f>
        <v>5028.00000000001</v>
      </c>
      <c r="O41" s="21">
        <f>+O40+O39</f>
        <v>3880.6000000000104</v>
      </c>
      <c r="P41" s="21">
        <f>+P40+P39</f>
        <v>4753.1000000000095</v>
      </c>
      <c r="Q41" s="21">
        <f>+Q40+Q39</f>
        <v>6455.7000000000089</v>
      </c>
      <c r="R41" s="22">
        <f>+N40+R39</f>
        <v>6455.700000000008</v>
      </c>
      <c r="S41" s="21">
        <f>+S40+S39</f>
        <v>3969.4000000000078</v>
      </c>
      <c r="T41" s="21">
        <f>+T40+T39</f>
        <v>3913.4000000000083</v>
      </c>
      <c r="U41" s="21">
        <f>+U40+U39</f>
        <v>3177.5000000000073</v>
      </c>
      <c r="V41" s="21">
        <f>+V40+V39</f>
        <v>3252.6993448393941</v>
      </c>
      <c r="W41" s="22">
        <f>+S40+W39</f>
        <v>3252.699344839396</v>
      </c>
      <c r="X41" s="21">
        <f>+X40+X39</f>
        <v>3666.0614043178766</v>
      </c>
      <c r="Y41" s="21">
        <f>+Y40+Y39</f>
        <v>3161.9917292242617</v>
      </c>
      <c r="Z41" s="21">
        <f>+Z40+Z39</f>
        <v>2920.316654778565</v>
      </c>
      <c r="AA41" s="21">
        <f>+AA40+AA39</f>
        <v>3516.2664206510899</v>
      </c>
      <c r="AB41" s="22">
        <f>+X40+AB39</f>
        <v>3516.2664206510908</v>
      </c>
      <c r="AC41" s="21">
        <f>+AC40+AC39</f>
        <v>4310.8334032023095</v>
      </c>
      <c r="AD41" s="21">
        <f>+AD40+AD39</f>
        <v>4069.7974787335893</v>
      </c>
      <c r="AE41" s="21">
        <f>+AE40+AE39</f>
        <v>4102.1196225674075</v>
      </c>
      <c r="AF41" s="21">
        <f>+AF40+AF39</f>
        <v>4645.1767963144257</v>
      </c>
      <c r="AG41" s="22">
        <f>+AC40+AG39</f>
        <v>4645.1767963144248</v>
      </c>
      <c r="AH41" s="21">
        <f>+AH40+AH39</f>
        <v>5516.6280277849673</v>
      </c>
      <c r="AI41" s="21">
        <f>+AI40+AI39</f>
        <v>5277.3461012798416</v>
      </c>
      <c r="AJ41" s="21">
        <f>+AJ40+AJ39</f>
        <v>5631.875556034538</v>
      </c>
      <c r="AK41" s="21">
        <f>+AK40+AK39</f>
        <v>1428.6411492952666</v>
      </c>
      <c r="AL41" s="22">
        <f>+AH40+AL39</f>
        <v>1428.6411492952666</v>
      </c>
      <c r="AM41" s="21">
        <f>+AM40+AM39</f>
        <v>2312.4919683927283</v>
      </c>
      <c r="AN41" s="21">
        <f>+AN40+AN39</f>
        <v>1931.679345599335</v>
      </c>
      <c r="AO41" s="21">
        <f>+AO40+AO39</f>
        <v>1982.0004871584756</v>
      </c>
      <c r="AP41" s="21">
        <f>+AP40+AP39</f>
        <v>2708.1769521385404</v>
      </c>
      <c r="AQ41" s="22">
        <f>+AM40+AQ39</f>
        <v>2708.1769521385395</v>
      </c>
      <c r="AR41" s="21">
        <f>+AR40+AR39</f>
        <v>3795.2184466129434</v>
      </c>
      <c r="AS41" s="21">
        <f>+AS40+AS39</f>
        <v>3498.4317670833198</v>
      </c>
      <c r="AT41" s="21">
        <f>+AT40+AT39</f>
        <v>3672.756153156146</v>
      </c>
      <c r="AU41" s="21">
        <f>+AU40+AU39</f>
        <v>4472.4777889437864</v>
      </c>
      <c r="AV41" s="22">
        <f>+AR40+AV39</f>
        <v>4472.4777889437864</v>
      </c>
    </row>
    <row r="42" spans="2:48" s="23" customFormat="1" outlineLevel="1" x14ac:dyDescent="0.3">
      <c r="B42" s="478" t="s">
        <v>300</v>
      </c>
      <c r="C42" s="479"/>
      <c r="D42" s="321"/>
      <c r="E42" s="321"/>
      <c r="F42" s="321"/>
      <c r="G42" s="321"/>
      <c r="H42" s="342"/>
      <c r="I42" s="321"/>
      <c r="J42" s="321"/>
      <c r="K42" s="321"/>
      <c r="L42" s="321"/>
      <c r="M42" s="342"/>
      <c r="N42" s="321"/>
      <c r="O42" s="321"/>
      <c r="P42" s="321"/>
      <c r="Q42" s="321"/>
      <c r="R42" s="342"/>
      <c r="S42" s="321"/>
      <c r="T42" s="321"/>
      <c r="U42" s="321"/>
      <c r="V42" s="321"/>
      <c r="W42" s="342"/>
      <c r="X42" s="321"/>
      <c r="Y42" s="321"/>
      <c r="Z42" s="321"/>
      <c r="AA42" s="321"/>
      <c r="AB42" s="342"/>
      <c r="AC42" s="321"/>
      <c r="AD42" s="321"/>
      <c r="AE42" s="321"/>
      <c r="AF42" s="321"/>
      <c r="AG42" s="342"/>
      <c r="AH42" s="321"/>
      <c r="AI42" s="321"/>
      <c r="AJ42" s="321"/>
      <c r="AK42" s="321"/>
      <c r="AL42" s="342"/>
      <c r="AM42" s="321"/>
      <c r="AN42" s="321"/>
      <c r="AO42" s="321"/>
      <c r="AP42" s="321"/>
      <c r="AQ42" s="342"/>
      <c r="AR42" s="321"/>
      <c r="AS42" s="321"/>
      <c r="AT42" s="321"/>
      <c r="AU42" s="321"/>
      <c r="AV42" s="342"/>
    </row>
    <row r="43" spans="2:48" s="23" customFormat="1" outlineLevel="1" x14ac:dyDescent="0.3">
      <c r="B43" s="325" t="s">
        <v>301</v>
      </c>
      <c r="C43" s="326"/>
      <c r="D43" s="327"/>
      <c r="E43" s="327"/>
      <c r="F43" s="343"/>
      <c r="G43" s="327"/>
      <c r="H43" s="328"/>
      <c r="I43" s="327"/>
      <c r="J43" s="327"/>
      <c r="K43" s="327"/>
      <c r="L43" s="327"/>
      <c r="M43" s="328"/>
      <c r="N43" s="327"/>
      <c r="O43" s="327"/>
      <c r="P43" s="327"/>
      <c r="Q43" s="327"/>
      <c r="R43" s="328"/>
      <c r="S43" s="327"/>
      <c r="T43" s="327"/>
      <c r="U43" s="327"/>
      <c r="V43" s="327"/>
      <c r="W43" s="328"/>
      <c r="X43" s="327"/>
      <c r="Y43" s="327"/>
      <c r="Z43" s="327"/>
      <c r="AA43" s="327"/>
      <c r="AB43" s="328"/>
      <c r="AC43" s="327"/>
      <c r="AD43" s="327"/>
      <c r="AE43" s="327"/>
      <c r="AF43" s="327"/>
      <c r="AG43" s="328"/>
      <c r="AH43" s="327"/>
      <c r="AI43" s="327"/>
      <c r="AJ43" s="327"/>
      <c r="AK43" s="327"/>
      <c r="AL43" s="328"/>
      <c r="AM43" s="327"/>
      <c r="AN43" s="327"/>
      <c r="AO43" s="327"/>
      <c r="AP43" s="327"/>
      <c r="AQ43" s="328"/>
      <c r="AR43" s="327"/>
      <c r="AS43" s="327"/>
      <c r="AT43" s="327"/>
      <c r="AU43" s="327"/>
      <c r="AV43" s="328"/>
    </row>
    <row r="44" spans="2:48" s="23" customFormat="1" outlineLevel="1" x14ac:dyDescent="0.3">
      <c r="B44" s="480" t="s">
        <v>302</v>
      </c>
      <c r="C44" s="481"/>
      <c r="D44" s="344"/>
      <c r="E44" s="344"/>
      <c r="F44" s="344"/>
      <c r="G44" s="344"/>
      <c r="H44" s="345"/>
      <c r="I44" s="344"/>
      <c r="J44" s="344"/>
      <c r="K44" s="344"/>
      <c r="L44" s="344"/>
      <c r="M44" s="345"/>
      <c r="N44" s="344"/>
      <c r="O44" s="344"/>
      <c r="P44" s="344"/>
      <c r="Q44" s="344"/>
      <c r="R44" s="345"/>
      <c r="S44" s="344"/>
      <c r="T44" s="344"/>
      <c r="U44" s="344"/>
      <c r="V44" s="344"/>
      <c r="W44" s="345"/>
      <c r="X44" s="344"/>
      <c r="Y44" s="344"/>
      <c r="Z44" s="344"/>
      <c r="AA44" s="344"/>
      <c r="AB44" s="345"/>
      <c r="AC44" s="344"/>
      <c r="AD44" s="344"/>
      <c r="AE44" s="344"/>
      <c r="AF44" s="344"/>
      <c r="AG44" s="345"/>
      <c r="AH44" s="344"/>
      <c r="AI44" s="344"/>
      <c r="AJ44" s="344"/>
      <c r="AK44" s="344"/>
      <c r="AL44" s="345"/>
      <c r="AM44" s="344"/>
      <c r="AN44" s="344"/>
      <c r="AO44" s="344"/>
      <c r="AP44" s="344"/>
      <c r="AQ44" s="345"/>
      <c r="AR44" s="344"/>
      <c r="AS44" s="344"/>
      <c r="AT44" s="344"/>
      <c r="AU44" s="344"/>
      <c r="AV44" s="345"/>
    </row>
    <row r="45" spans="2:48" outlineLevel="1" x14ac:dyDescent="0.3">
      <c r="B45" s="250" t="s">
        <v>303</v>
      </c>
      <c r="C45" s="249"/>
      <c r="D45" s="334"/>
      <c r="E45" s="334"/>
      <c r="F45" s="334"/>
      <c r="G45" s="334"/>
      <c r="H45" s="335"/>
      <c r="I45" s="334"/>
      <c r="J45" s="334"/>
      <c r="K45" s="334"/>
      <c r="L45" s="334"/>
      <c r="M45" s="335"/>
      <c r="N45" s="334"/>
      <c r="O45" s="334"/>
      <c r="P45" s="334"/>
      <c r="Q45" s="334"/>
      <c r="R45" s="335"/>
      <c r="S45" s="334"/>
      <c r="T45" s="334"/>
      <c r="U45" s="334"/>
      <c r="V45" s="334"/>
      <c r="W45" s="335"/>
      <c r="X45" s="334"/>
      <c r="Y45" s="334"/>
      <c r="Z45" s="334"/>
      <c r="AA45" s="334"/>
      <c r="AB45" s="335"/>
      <c r="AC45" s="334"/>
      <c r="AD45" s="334"/>
      <c r="AE45" s="334"/>
      <c r="AF45" s="334"/>
      <c r="AG45" s="335"/>
      <c r="AH45" s="334"/>
      <c r="AI45" s="334"/>
      <c r="AJ45" s="334"/>
      <c r="AK45" s="334"/>
      <c r="AL45" s="335"/>
      <c r="AM45" s="334"/>
      <c r="AN45" s="334"/>
      <c r="AO45" s="334"/>
      <c r="AP45" s="334"/>
      <c r="AQ45" s="335"/>
      <c r="AR45" s="334"/>
      <c r="AS45" s="334"/>
      <c r="AT45" s="334"/>
      <c r="AU45" s="334"/>
      <c r="AV45" s="335"/>
    </row>
    <row r="46" spans="2:48" outlineLevel="1" x14ac:dyDescent="0.3">
      <c r="B46" s="200" t="s">
        <v>304</v>
      </c>
      <c r="C46" s="201"/>
      <c r="D46" s="16">
        <f>+'BS (Base-Case)'!D6+'BS (Base-Case)'!D7+'BS (Base-Case)'!D12</f>
        <v>5256.8</v>
      </c>
      <c r="E46" s="16">
        <f>+'BS (Base-Case)'!E6+'BS (Base-Case)'!E7+'BS (Base-Case)'!E12</f>
        <v>2383.6000000000004</v>
      </c>
      <c r="F46" s="16">
        <f>+'BS (Base-Case)'!F6+'BS (Base-Case)'!F7+'BS (Base-Case)'!F12</f>
        <v>5058.1000000000022</v>
      </c>
      <c r="G46" s="16">
        <f>+'BS (Base-Case)'!G6+'BS (Base-Case)'!G7+'BS (Base-Case)'!G12</f>
        <v>2977.1000000000022</v>
      </c>
      <c r="H46" s="17">
        <f>+'BS (Base-Case)'!H6+'BS (Base-Case)'!H7+'BS (Base-Case)'!H12</f>
        <v>2977.1000000000022</v>
      </c>
      <c r="I46" s="16">
        <f>+'BS (Base-Case)'!I6+'BS (Base-Case)'!I7+'BS (Base-Case)'!I12</f>
        <v>3308.7000000000039</v>
      </c>
      <c r="J46" s="16">
        <f>+'BS (Base-Case)'!J6+'BS (Base-Case)'!J7+'BS (Base-Case)'!J12</f>
        <v>2824.0000000000032</v>
      </c>
      <c r="K46" s="16">
        <f>+'BS (Base-Case)'!K6+'BS (Base-Case)'!K7+'BS (Base-Case)'!K12</f>
        <v>4419.2000000000035</v>
      </c>
      <c r="L46" s="16">
        <f>+'BS (Base-Case)'!L6+'BS (Base-Case)'!L7+'BS (Base-Case)'!L12</f>
        <v>4838.2000000000062</v>
      </c>
      <c r="M46" s="17">
        <f>+'BS (Base-Case)'!M6+'BS (Base-Case)'!M7+'BS (Base-Case)'!M12</f>
        <v>4838.2000000000062</v>
      </c>
      <c r="N46" s="16">
        <f>+'BS (Base-Case)'!N6+'BS (Base-Case)'!N7+'BS (Base-Case)'!N12</f>
        <v>5454.4000000000096</v>
      </c>
      <c r="O46" s="16">
        <f>+'BS (Base-Case)'!O6+'BS (Base-Case)'!O7+'BS (Base-Case)'!O12</f>
        <v>4288.4000000000106</v>
      </c>
      <c r="P46" s="16">
        <f>+'BS (Base-Case)'!P6+'BS (Base-Case)'!P7+'BS (Base-Case)'!P12</f>
        <v>5192.6000000000095</v>
      </c>
      <c r="Q46" s="16">
        <f>+'BS (Base-Case)'!Q6+'BS (Base-Case)'!Q7+'BS (Base-Case)'!Q12</f>
        <v>6899.6000000000085</v>
      </c>
      <c r="R46" s="17">
        <f>+'BS (Base-Case)'!R6+'BS (Base-Case)'!R7+'BS (Base-Case)'!R12</f>
        <v>6899.6000000000085</v>
      </c>
      <c r="S46" s="16">
        <f>+'BS (Base-Case)'!S6+'BS (Base-Case)'!S7+'BS (Base-Case)'!S12</f>
        <v>4356.4000000000078</v>
      </c>
      <c r="T46" s="16">
        <f>+'BS (Base-Case)'!T6+'BS (Base-Case)'!T7+'BS (Base-Case)'!T12</f>
        <v>4281.1000000000085</v>
      </c>
      <c r="U46" s="16">
        <f>+'BS (Base-Case)'!U6+'BS (Base-Case)'!U7+'BS (Base-Case)'!U12</f>
        <v>3546.9000000000074</v>
      </c>
      <c r="V46" s="16">
        <f>+'BS (Base-Case)'!V6+'BS (Base-Case)'!V7+'BS (Base-Case)'!V12</f>
        <v>3626.225344197559</v>
      </c>
      <c r="W46" s="17">
        <f>+'BS (Base-Case)'!W6+'BS (Base-Case)'!W7+'BS (Base-Case)'!W12</f>
        <v>3626.225344197559</v>
      </c>
      <c r="X46" s="16">
        <f>+'BS (Base-Case)'!X6+'BS (Base-Case)'!X7+'BS (Base-Case)'!X12</f>
        <v>4043.9148887454353</v>
      </c>
      <c r="Y46" s="16">
        <f>+'BS (Base-Case)'!Y6+'BS (Base-Case)'!Y7+'BS (Base-Case)'!Y12</f>
        <v>3535.8822286682098</v>
      </c>
      <c r="Z46" s="16">
        <f>+'BS (Base-Case)'!Z6+'BS (Base-Case)'!Z7+'BS (Base-Case)'!Z12</f>
        <v>3305.4076387523319</v>
      </c>
      <c r="AA46" s="16">
        <f>+'BS (Base-Case)'!AA6+'BS (Base-Case)'!AA7+'BS (Base-Case)'!AA12</f>
        <v>3905.6160177644697</v>
      </c>
      <c r="AB46" s="17">
        <f>+'BS (Base-Case)'!AB6+'BS (Base-Case)'!AB7+'BS (Base-Case)'!AB12</f>
        <v>3905.6160177644697</v>
      </c>
      <c r="AC46" s="16">
        <f>+'BS (Base-Case)'!AC6+'BS (Base-Case)'!AC7+'BS (Base-Case)'!AC12</f>
        <v>4713.9766208429646</v>
      </c>
      <c r="AD46" s="16">
        <f>+'BS (Base-Case)'!AD6+'BS (Base-Case)'!AD7+'BS (Base-Case)'!AD12</f>
        <v>4472.3361063329567</v>
      </c>
      <c r="AE46" s="16">
        <f>+'BS (Base-Case)'!AE6+'BS (Base-Case)'!AE7+'BS (Base-Case)'!AE12</f>
        <v>4513.9075372116513</v>
      </c>
      <c r="AF46" s="16">
        <f>+'BS (Base-Case)'!AF6+'BS (Base-Case)'!AF7+'BS (Base-Case)'!AF12</f>
        <v>5062.2489304894407</v>
      </c>
      <c r="AG46" s="17">
        <f>+'BS (Base-Case)'!AG6+'BS (Base-Case)'!AG7+'BS (Base-Case)'!AG12</f>
        <v>5062.2489304894407</v>
      </c>
      <c r="AH46" s="16">
        <f>+'BS (Base-Case)'!AH6+'BS (Base-Case)'!AH7+'BS (Base-Case)'!AH12</f>
        <v>5949.7993810327598</v>
      </c>
      <c r="AI46" s="16">
        <f>+'BS (Base-Case)'!AI6+'BS (Base-Case)'!AI7+'BS (Base-Case)'!AI12</f>
        <v>5710.3720273195531</v>
      </c>
      <c r="AJ46" s="16">
        <f>+'BS (Base-Case)'!AJ6+'BS (Base-Case)'!AJ7+'BS (Base-Case)'!AJ12</f>
        <v>6080.0142143794465</v>
      </c>
      <c r="AK46" s="16">
        <f>+'BS (Base-Case)'!AK6+'BS (Base-Case)'!AK7+'BS (Base-Case)'!AK12</f>
        <v>1815.7099725140106</v>
      </c>
      <c r="AL46" s="17">
        <f>+'BS (Base-Case)'!AL6+'BS (Base-Case)'!AL7+'BS (Base-Case)'!AL12</f>
        <v>1815.7099725140106</v>
      </c>
      <c r="AM46" s="16">
        <f>+'BS (Base-Case)'!AM6+'BS (Base-Case)'!AM7+'BS (Base-Case)'!AM12</f>
        <v>2715.0720702666604</v>
      </c>
      <c r="AN46" s="16">
        <f>+'BS (Base-Case)'!AN6+'BS (Base-Case)'!AN7+'BS (Base-Case)'!AN12</f>
        <v>2332.0303920390884</v>
      </c>
      <c r="AO46" s="16">
        <f>+'BS (Base-Case)'!AO6+'BS (Base-Case)'!AO7+'BS (Base-Case)'!AO12</f>
        <v>2394.0737397718517</v>
      </c>
      <c r="AP46" s="16">
        <f>+'BS (Base-Case)'!AP6+'BS (Base-Case)'!AP7+'BS (Base-Case)'!AP12</f>
        <v>3125.8326320112856</v>
      </c>
      <c r="AQ46" s="17">
        <f>+'BS (Base-Case)'!AQ6+'BS (Base-Case)'!AQ7+'BS (Base-Case)'!AQ12</f>
        <v>3125.8326320112856</v>
      </c>
      <c r="AR46" s="16">
        <f>+'BS (Base-Case)'!AR6+'BS (Base-Case)'!AR7+'BS (Base-Case)'!AR12</f>
        <v>4230.5178381047854</v>
      </c>
      <c r="AS46" s="16">
        <f>+'BS (Base-Case)'!AS6+'BS (Base-Case)'!AS7+'BS (Base-Case)'!AS12</f>
        <v>3932.5160818197364</v>
      </c>
      <c r="AT46" s="16">
        <f>+'BS (Base-Case)'!AT6+'BS (Base-Case)'!AT7+'BS (Base-Case)'!AT12</f>
        <v>4120.0954728852203</v>
      </c>
      <c r="AU46" s="16">
        <f>+'BS (Base-Case)'!AU6+'BS (Base-Case)'!AU7+'BS (Base-Case)'!AU12</f>
        <v>4926.7036473936569</v>
      </c>
      <c r="AV46" s="17">
        <f>+'BS (Base-Case)'!AV6+'BS (Base-Case)'!AV7+'BS (Base-Case)'!AV12</f>
        <v>4926.7036473936569</v>
      </c>
    </row>
    <row r="47" spans="2:48" outlineLevel="1" x14ac:dyDescent="0.3">
      <c r="B47" s="200" t="s">
        <v>305</v>
      </c>
      <c r="C47" s="201"/>
      <c r="D47" s="16">
        <f>'BS (Base-Case)'!D28+'BS (Base-Case)'!D31</f>
        <v>9130.7000000000007</v>
      </c>
      <c r="E47" s="16">
        <f>'BS (Base-Case)'!E28+'BS (Base-Case)'!E31</f>
        <v>9216.5</v>
      </c>
      <c r="F47" s="16">
        <f>'BS (Base-Case)'!F28+'BS (Base-Case)'!F31</f>
        <v>11159.1</v>
      </c>
      <c r="G47" s="16">
        <f>'BS (Base-Case)'!G28+'BS (Base-Case)'!G31</f>
        <v>11167</v>
      </c>
      <c r="H47" s="17">
        <f>'BS (Base-Case)'!H28+'BS (Base-Case)'!H31</f>
        <v>11167</v>
      </c>
      <c r="I47" s="16">
        <f>'BS (Base-Case)'!I28+'BS (Base-Case)'!I31</f>
        <v>11649.800000000001</v>
      </c>
      <c r="J47" s="16">
        <f>'BS (Base-Case)'!J28+'BS (Base-Case)'!J31</f>
        <v>14015.2</v>
      </c>
      <c r="K47" s="16">
        <f>'BS (Base-Case)'!K28+'BS (Base-Case)'!K31</f>
        <v>16831.7</v>
      </c>
      <c r="L47" s="16">
        <f>'BS (Base-Case)'!L28+'BS (Base-Case)'!L31</f>
        <v>16348.300000000001</v>
      </c>
      <c r="M47" s="17">
        <f>'BS (Base-Case)'!M28+'BS (Base-Case)'!M31</f>
        <v>16348.300000000001</v>
      </c>
      <c r="N47" s="16">
        <f>'BS (Base-Case)'!N28+'BS (Base-Case)'!N31</f>
        <v>15916.1</v>
      </c>
      <c r="O47" s="16">
        <f>'BS (Base-Case)'!O28+'BS (Base-Case)'!O31</f>
        <v>14648.599999999999</v>
      </c>
      <c r="P47" s="16">
        <f>'BS (Base-Case)'!P28+'BS (Base-Case)'!P31</f>
        <v>14618.1</v>
      </c>
      <c r="Q47" s="16">
        <f>'BS (Base-Case)'!Q28+'BS (Base-Case)'!Q31</f>
        <v>14615.8</v>
      </c>
      <c r="R47" s="17">
        <f>'BS (Base-Case)'!R28+'BS (Base-Case)'!R31</f>
        <v>14615.8</v>
      </c>
      <c r="S47" s="16">
        <f>'BS (Base-Case)'!S28+'BS (Base-Case)'!S31</f>
        <v>14785.599999999999</v>
      </c>
      <c r="T47" s="16">
        <f>'BS (Base-Case)'!T28+'BS (Base-Case)'!T31</f>
        <v>16013</v>
      </c>
      <c r="U47" s="16">
        <f>'BS (Base-Case)'!U28+'BS (Base-Case)'!U31</f>
        <v>15129.9</v>
      </c>
      <c r="V47" s="16">
        <f>'BS (Base-Case)'!V28+'BS (Base-Case)'!V31</f>
        <v>14930.9</v>
      </c>
      <c r="W47" s="17">
        <f>'BS (Base-Case)'!W28+'BS (Base-Case)'!W31</f>
        <v>14930.9</v>
      </c>
      <c r="X47" s="16">
        <f>'BS (Base-Case)'!X28+'BS (Base-Case)'!X31</f>
        <v>14930.9</v>
      </c>
      <c r="Y47" s="16">
        <f>'BS (Base-Case)'!Y28+'BS (Base-Case)'!Y31</f>
        <v>14930.9</v>
      </c>
      <c r="Z47" s="16">
        <f>'BS (Base-Case)'!Z28+'BS (Base-Case)'!Z31</f>
        <v>14930.9</v>
      </c>
      <c r="AA47" s="16">
        <f>'BS (Base-Case)'!AA28+'BS (Base-Case)'!AA31</f>
        <v>14930.9</v>
      </c>
      <c r="AB47" s="17">
        <f>'BS (Base-Case)'!AB28+'BS (Base-Case)'!AB31</f>
        <v>14930.9</v>
      </c>
      <c r="AC47" s="16">
        <f>'BS (Base-Case)'!AC28+'BS (Base-Case)'!AC31</f>
        <v>14930.9</v>
      </c>
      <c r="AD47" s="16">
        <f>'BS (Base-Case)'!AD28+'BS (Base-Case)'!AD31</f>
        <v>14930.6</v>
      </c>
      <c r="AE47" s="16">
        <f>'BS (Base-Case)'!AE28+'BS (Base-Case)'!AE31</f>
        <v>14930.6</v>
      </c>
      <c r="AF47" s="16">
        <f>'BS (Base-Case)'!AF28+'BS (Base-Case)'!AF31</f>
        <v>15030.6</v>
      </c>
      <c r="AG47" s="17">
        <f>'BS (Base-Case)'!AG28+'BS (Base-Case)'!AG31</f>
        <v>15030.6</v>
      </c>
      <c r="AH47" s="16">
        <f>'BS (Base-Case)'!AH28+'BS (Base-Case)'!AH31</f>
        <v>15030.6</v>
      </c>
      <c r="AI47" s="16">
        <f>'BS (Base-Case)'!AI28+'BS (Base-Case)'!AI31</f>
        <v>15030.6</v>
      </c>
      <c r="AJ47" s="16">
        <f>'BS (Base-Case)'!AJ28+'BS (Base-Case)'!AJ31</f>
        <v>20321.599999999999</v>
      </c>
      <c r="AK47" s="16">
        <f>'BS (Base-Case)'!AK28+'BS (Base-Case)'!AK31</f>
        <v>20321.599999999999</v>
      </c>
      <c r="AL47" s="17">
        <f>'BS (Base-Case)'!AL28+'BS (Base-Case)'!AL31</f>
        <v>20321.599999999999</v>
      </c>
      <c r="AM47" s="16">
        <f>'BS (Base-Case)'!AM28+'BS (Base-Case)'!AM31</f>
        <v>20321.599999999999</v>
      </c>
      <c r="AN47" s="16">
        <f>'BS (Base-Case)'!AN28+'BS (Base-Case)'!AN31</f>
        <v>20321.599999999999</v>
      </c>
      <c r="AO47" s="16">
        <f>'BS (Base-Case)'!AO28+'BS (Base-Case)'!AO31</f>
        <v>20321.599999999999</v>
      </c>
      <c r="AP47" s="16">
        <f>'BS (Base-Case)'!AP28+'BS (Base-Case)'!AP31</f>
        <v>20321.599999999999</v>
      </c>
      <c r="AQ47" s="17">
        <f>'BS (Base-Case)'!AQ28+'BS (Base-Case)'!AQ31</f>
        <v>20321.599999999999</v>
      </c>
      <c r="AR47" s="16">
        <f>'BS (Base-Case)'!AR28+'BS (Base-Case)'!AR31</f>
        <v>20321.599999999999</v>
      </c>
      <c r="AS47" s="16">
        <f>'BS (Base-Case)'!AS28+'BS (Base-Case)'!AS31</f>
        <v>20321.599999999999</v>
      </c>
      <c r="AT47" s="16">
        <f>'BS (Base-Case)'!AT28+'BS (Base-Case)'!AT31</f>
        <v>20321.599999999999</v>
      </c>
      <c r="AU47" s="16">
        <f>'BS (Base-Case)'!AU28+'BS (Base-Case)'!AU31</f>
        <v>20321.599999999999</v>
      </c>
      <c r="AV47" s="17">
        <f>'BS (Base-Case)'!AV28+'BS (Base-Case)'!AV31</f>
        <v>20321.599999999999</v>
      </c>
    </row>
    <row r="48" spans="2:48" outlineLevel="1" x14ac:dyDescent="0.3">
      <c r="B48" s="482" t="s">
        <v>306</v>
      </c>
      <c r="C48" s="483"/>
      <c r="D48" s="346">
        <f>(D46-D47)/'IS (Base-Case)'!D31</f>
        <v>-3.0907132599329823</v>
      </c>
      <c r="E48" s="346">
        <f>(E46-E47)/'IS (Base-Case)'!E31</f>
        <v>-5.4632605740785154</v>
      </c>
      <c r="F48" s="346">
        <f>(F46-F47)/'IS (Base-Case)'!F31</f>
        <v>-4.9885527391659839</v>
      </c>
      <c r="G48" s="346">
        <f>(G46-G47)/'IS (Base-Case)'!G31</f>
        <v>-6.6975821179389685</v>
      </c>
      <c r="H48" s="347">
        <f>(H46-H47)/'IS (Base-Case)'!H31</f>
        <v>-6.6411774245864397</v>
      </c>
      <c r="I48" s="346">
        <f>(I46-I47)/'IS (Base-Case)'!I31</f>
        <v>-7.0034424853064623</v>
      </c>
      <c r="J48" s="346">
        <f>(J46-J47)/'IS (Base-Case)'!J31</f>
        <v>-9.4784449902600123</v>
      </c>
      <c r="K48" s="346">
        <f>(K46-K47)/'IS (Base-Case)'!K31</f>
        <v>-10.62259306803594</v>
      </c>
      <c r="L48" s="346">
        <f>(L46-L47)/'IS (Base-Case)'!L31</f>
        <v>-9.7625954198473242</v>
      </c>
      <c r="M48" s="347">
        <f>(M46-M47)/'IS (Base-Case)'!M31</f>
        <v>-9.6019593007244595</v>
      </c>
      <c r="N48" s="346">
        <f>(N46-N47)/'IS (Base-Case)'!N31</f>
        <v>-8.8433643279797032</v>
      </c>
      <c r="O48" s="346">
        <f>(O46-O47)/'IS (Base-Case)'!O31</f>
        <v>-8.7442606347062704</v>
      </c>
      <c r="P48" s="346">
        <f>(P46-P47)/'IS (Base-Case)'!P31</f>
        <v>-7.9459618951272892</v>
      </c>
      <c r="Q48" s="346">
        <f>(Q46-Q47)/'IS (Base-Case)'!Q31</f>
        <v>-6.4956646182338496</v>
      </c>
      <c r="R48" s="347">
        <f>(R46-R47)/'IS (Base-Case)'!R31</f>
        <v>-6.504862503325251</v>
      </c>
      <c r="S48" s="346">
        <f>(S46-S47)/'IS (Base-Case)'!S31</f>
        <v>-8.8638449770525156</v>
      </c>
      <c r="T48" s="346">
        <f>(T46-T47)/'IS (Base-Case)'!T31</f>
        <v>-10.167172198630722</v>
      </c>
      <c r="U48" s="346">
        <f>(U46-U47)/'IS (Base-Case)'!U31</f>
        <v>-10.06342311033883</v>
      </c>
      <c r="V48" s="346">
        <f>(V46-V47)/'IS (Base-Case)'!V31</f>
        <v>-9.8117995434647387</v>
      </c>
      <c r="W48" s="347">
        <f>(W46-W47)/'IS (Base-Case)'!W31</f>
        <v>-9.7581506396475532</v>
      </c>
      <c r="X48" s="346">
        <f>(X46-X47)/'IS (Base-Case)'!X31</f>
        <v>-9.4398295034698716</v>
      </c>
      <c r="Y48" s="346">
        <f>(Y46-Y47)/'IS (Base-Case)'!Y31</f>
        <v>-9.8704613156776162</v>
      </c>
      <c r="Z48" s="346">
        <f>(Z46-Z47)/'IS (Base-Case)'!Z31</f>
        <v>-10.060040325475839</v>
      </c>
      <c r="AA48" s="346">
        <f>(AA46-AA47)/'IS (Base-Case)'!AA31</f>
        <v>-9.5311229856381736</v>
      </c>
      <c r="AB48" s="347">
        <f>(AB46-AB47)/'IS (Base-Case)'!AB31</f>
        <v>-9.544052897566921</v>
      </c>
      <c r="AC48" s="346">
        <f>(AC46-AC47)/'IS (Base-Case)'!AC31</f>
        <v>-8.8234889864553576</v>
      </c>
      <c r="AD48" s="346">
        <f>(AD46-AD47)/'IS (Base-Case)'!AD31</f>
        <v>-9.0228914000848413</v>
      </c>
      <c r="AE48" s="346">
        <f>(AE46-AE47)/'IS (Base-Case)'!AE31</f>
        <v>-8.9851265798956348</v>
      </c>
      <c r="AF48" s="346">
        <f>(AF46-AF47)/'IS (Base-Case)'!AF31</f>
        <v>-8.5965824501494748</v>
      </c>
      <c r="AG48" s="347">
        <f>(AG46-AG47)/'IS (Base-Case)'!AG31</f>
        <v>-8.6010031298334102</v>
      </c>
      <c r="AH48" s="346">
        <f>(AH46-AH47)/'IS (Base-Case)'!AH31</f>
        <v>-7.8292187517801022</v>
      </c>
      <c r="AI48" s="346">
        <f>(AI46-AI47)/'IS (Base-Case)'!AI31</f>
        <v>-8.0336428533463344</v>
      </c>
      <c r="AJ48" s="346">
        <f>(AJ46-AJ47)/'IS (Base-Case)'!AJ31</f>
        <v>-12.759931218059311</v>
      </c>
      <c r="AK48" s="346">
        <f>(AK46-AK47)/'IS (Base-Case)'!AK31</f>
        <v>-17.262283617426522</v>
      </c>
      <c r="AL48" s="347">
        <f>(AL46-AL47)/'IS (Base-Case)'!AL31</f>
        <v>-16.443138571855975</v>
      </c>
      <c r="AM48" s="346">
        <f>(AM46-AM47)/'IS (Base-Case)'!AM31</f>
        <v>-16.438942547478032</v>
      </c>
      <c r="AN48" s="346">
        <f>(AN46-AN47)/'IS (Base-Case)'!AN31</f>
        <v>-16.812551251308161</v>
      </c>
      <c r="AO48" s="346">
        <f>(AO46-AO47)/'IS (Base-Case)'!AO31</f>
        <v>-16.770527056365012</v>
      </c>
      <c r="AP48" s="346">
        <f>(AP46-AP47)/'IS (Base-Case)'!AP31</f>
        <v>-16.101347009328268</v>
      </c>
      <c r="AQ48" s="347">
        <f>(AQ46-AQ47)/'IS (Base-Case)'!AQ31</f>
        <v>-16.078815287058877</v>
      </c>
      <c r="AR48" s="346">
        <f>(AR46-AR47)/'IS (Base-Case)'!AR31</f>
        <v>-15.080798914110607</v>
      </c>
      <c r="AS48" s="346">
        <f>(AS46-AS47)/'IS (Base-Case)'!AS31</f>
        <v>-15.374216366468577</v>
      </c>
      <c r="AT48" s="346">
        <f>(AT46-AT47)/'IS (Base-Case)'!AT31</f>
        <v>-15.212256383770653</v>
      </c>
      <c r="AU48" s="346">
        <f>(AU46-AU47)/'IS (Base-Case)'!AU31</f>
        <v>-14.46824347100368</v>
      </c>
      <c r="AV48" s="347">
        <f>(AV46-AV47)/'IS (Base-Case)'!AV31</f>
        <v>-14.448660924698871</v>
      </c>
    </row>
    <row r="49" spans="2:48" x14ac:dyDescent="0.3">
      <c r="B49" s="484"/>
      <c r="C49" s="484"/>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348"/>
      <c r="AP49" s="348"/>
      <c r="AQ49" s="348"/>
      <c r="AR49" s="348"/>
      <c r="AS49" s="348"/>
      <c r="AT49" s="348"/>
      <c r="AU49" s="348"/>
      <c r="AV49" s="348"/>
    </row>
    <row r="50" spans="2:48" ht="15.6" x14ac:dyDescent="0.3">
      <c r="B50" s="433" t="s">
        <v>307</v>
      </c>
      <c r="C50" s="434"/>
      <c r="D50" s="13" t="s">
        <v>15</v>
      </c>
      <c r="E50" s="13" t="s">
        <v>82</v>
      </c>
      <c r="F50" s="13" t="s">
        <v>84</v>
      </c>
      <c r="G50" s="13" t="s">
        <v>147</v>
      </c>
      <c r="H50" s="39" t="s">
        <v>147</v>
      </c>
      <c r="I50" s="13" t="s">
        <v>146</v>
      </c>
      <c r="J50" s="13" t="s">
        <v>145</v>
      </c>
      <c r="K50" s="13" t="s">
        <v>144</v>
      </c>
      <c r="L50" s="13" t="s">
        <v>141</v>
      </c>
      <c r="M50" s="39" t="s">
        <v>141</v>
      </c>
      <c r="N50" s="13" t="s">
        <v>148</v>
      </c>
      <c r="O50" s="13" t="s">
        <v>156</v>
      </c>
      <c r="P50" s="13" t="s">
        <v>158</v>
      </c>
      <c r="Q50" s="13" t="s">
        <v>171</v>
      </c>
      <c r="R50" s="39" t="s">
        <v>171</v>
      </c>
      <c r="S50" s="13" t="s">
        <v>187</v>
      </c>
      <c r="T50" s="13" t="s">
        <v>190</v>
      </c>
      <c r="U50" s="13" t="s">
        <v>203</v>
      </c>
      <c r="V50" s="15" t="s">
        <v>20</v>
      </c>
      <c r="W50" s="41" t="s">
        <v>20</v>
      </c>
      <c r="X50" s="15" t="s">
        <v>21</v>
      </c>
      <c r="Y50" s="15" t="s">
        <v>22</v>
      </c>
      <c r="Z50" s="15" t="s">
        <v>23</v>
      </c>
      <c r="AA50" s="15" t="s">
        <v>24</v>
      </c>
      <c r="AB50" s="41" t="s">
        <v>24</v>
      </c>
      <c r="AC50" s="15" t="s">
        <v>86</v>
      </c>
      <c r="AD50" s="15" t="s">
        <v>87</v>
      </c>
      <c r="AE50" s="15" t="s">
        <v>88</v>
      </c>
      <c r="AF50" s="15" t="s">
        <v>89</v>
      </c>
      <c r="AG50" s="41" t="s">
        <v>89</v>
      </c>
      <c r="AH50" s="15" t="s">
        <v>105</v>
      </c>
      <c r="AI50" s="15" t="s">
        <v>106</v>
      </c>
      <c r="AJ50" s="15" t="s">
        <v>107</v>
      </c>
      <c r="AK50" s="15" t="s">
        <v>108</v>
      </c>
      <c r="AL50" s="41" t="s">
        <v>108</v>
      </c>
      <c r="AM50" s="15" t="s">
        <v>160</v>
      </c>
      <c r="AN50" s="15" t="s">
        <v>161</v>
      </c>
      <c r="AO50" s="15" t="s">
        <v>162</v>
      </c>
      <c r="AP50" s="15" t="s">
        <v>163</v>
      </c>
      <c r="AQ50" s="41" t="s">
        <v>163</v>
      </c>
      <c r="AR50" s="15" t="s">
        <v>191</v>
      </c>
      <c r="AS50" s="15" t="s">
        <v>192</v>
      </c>
      <c r="AT50" s="15" t="s">
        <v>193</v>
      </c>
      <c r="AU50" s="15" t="s">
        <v>194</v>
      </c>
      <c r="AV50" s="41" t="s">
        <v>194</v>
      </c>
    </row>
    <row r="51" spans="2:48" ht="16.2" x14ac:dyDescent="0.45">
      <c r="B51" s="467"/>
      <c r="C51" s="468"/>
      <c r="D51" s="14" t="s">
        <v>19</v>
      </c>
      <c r="E51" s="14" t="s">
        <v>81</v>
      </c>
      <c r="F51" s="14" t="s">
        <v>85</v>
      </c>
      <c r="G51" s="14" t="s">
        <v>95</v>
      </c>
      <c r="H51" s="40" t="s">
        <v>96</v>
      </c>
      <c r="I51" s="14" t="s">
        <v>97</v>
      </c>
      <c r="J51" s="14" t="s">
        <v>98</v>
      </c>
      <c r="K51" s="14" t="s">
        <v>99</v>
      </c>
      <c r="L51" s="14" t="s">
        <v>142</v>
      </c>
      <c r="M51" s="40" t="s">
        <v>143</v>
      </c>
      <c r="N51" s="14" t="s">
        <v>149</v>
      </c>
      <c r="O51" s="14" t="s">
        <v>157</v>
      </c>
      <c r="P51" s="14" t="s">
        <v>159</v>
      </c>
      <c r="Q51" s="14" t="s">
        <v>172</v>
      </c>
      <c r="R51" s="40" t="s">
        <v>173</v>
      </c>
      <c r="S51" s="14" t="s">
        <v>188</v>
      </c>
      <c r="T51" s="14" t="s">
        <v>189</v>
      </c>
      <c r="U51" s="14" t="s">
        <v>204</v>
      </c>
      <c r="V51" s="12" t="s">
        <v>25</v>
      </c>
      <c r="W51" s="42" t="s">
        <v>26</v>
      </c>
      <c r="X51" s="12" t="s">
        <v>27</v>
      </c>
      <c r="Y51" s="12" t="s">
        <v>28</v>
      </c>
      <c r="Z51" s="12" t="s">
        <v>29</v>
      </c>
      <c r="AA51" s="12" t="s">
        <v>30</v>
      </c>
      <c r="AB51" s="42" t="s">
        <v>31</v>
      </c>
      <c r="AC51" s="12" t="s">
        <v>90</v>
      </c>
      <c r="AD51" s="12" t="s">
        <v>91</v>
      </c>
      <c r="AE51" s="12" t="s">
        <v>92</v>
      </c>
      <c r="AF51" s="12" t="s">
        <v>93</v>
      </c>
      <c r="AG51" s="42" t="s">
        <v>94</v>
      </c>
      <c r="AH51" s="12" t="s">
        <v>109</v>
      </c>
      <c r="AI51" s="12" t="s">
        <v>110</v>
      </c>
      <c r="AJ51" s="12" t="s">
        <v>111</v>
      </c>
      <c r="AK51" s="12" t="s">
        <v>112</v>
      </c>
      <c r="AL51" s="42" t="s">
        <v>113</v>
      </c>
      <c r="AM51" s="12" t="s">
        <v>164</v>
      </c>
      <c r="AN51" s="12" t="s">
        <v>165</v>
      </c>
      <c r="AO51" s="12" t="s">
        <v>166</v>
      </c>
      <c r="AP51" s="12" t="s">
        <v>167</v>
      </c>
      <c r="AQ51" s="42" t="s">
        <v>168</v>
      </c>
      <c r="AR51" s="12" t="s">
        <v>195</v>
      </c>
      <c r="AS51" s="12" t="s">
        <v>196</v>
      </c>
      <c r="AT51" s="12" t="s">
        <v>197</v>
      </c>
      <c r="AU51" s="12" t="s">
        <v>198</v>
      </c>
      <c r="AV51" s="42" t="s">
        <v>199</v>
      </c>
    </row>
    <row r="52" spans="2:48" ht="16.2" outlineLevel="1" x14ac:dyDescent="0.45">
      <c r="B52" s="457" t="s">
        <v>308</v>
      </c>
      <c r="C52" s="458"/>
      <c r="D52" s="349"/>
      <c r="E52" s="349"/>
      <c r="F52" s="349"/>
      <c r="G52" s="349"/>
      <c r="H52" s="350"/>
      <c r="I52" s="349"/>
      <c r="J52" s="349"/>
      <c r="K52" s="349"/>
      <c r="L52" s="349"/>
      <c r="M52" s="350"/>
      <c r="N52" s="349"/>
      <c r="O52" s="349"/>
      <c r="P52" s="349"/>
      <c r="Q52" s="349"/>
      <c r="R52" s="350"/>
      <c r="S52" s="349"/>
      <c r="T52" s="349"/>
      <c r="U52" s="349"/>
      <c r="V52" s="349"/>
      <c r="W52" s="350"/>
      <c r="X52" s="349"/>
      <c r="Y52" s="349"/>
      <c r="Z52" s="349"/>
      <c r="AA52" s="349"/>
      <c r="AB52" s="350"/>
      <c r="AC52" s="349"/>
      <c r="AD52" s="349"/>
      <c r="AE52" s="349"/>
      <c r="AF52" s="349"/>
      <c r="AG52" s="350"/>
      <c r="AH52" s="349"/>
      <c r="AI52" s="349"/>
      <c r="AJ52" s="349"/>
      <c r="AK52" s="349"/>
      <c r="AL52" s="350"/>
      <c r="AM52" s="349"/>
      <c r="AN52" s="349"/>
      <c r="AO52" s="349"/>
      <c r="AP52" s="349"/>
      <c r="AQ52" s="350"/>
      <c r="AR52" s="349"/>
      <c r="AS52" s="349"/>
      <c r="AT52" s="349"/>
      <c r="AU52" s="349"/>
      <c r="AV52" s="350"/>
    </row>
    <row r="53" spans="2:48" s="23" customFormat="1" outlineLevel="1" x14ac:dyDescent="0.3">
      <c r="B53" s="200" t="s">
        <v>309</v>
      </c>
      <c r="C53" s="201"/>
      <c r="D53" s="351">
        <f>D12/'IS (Base-Case)'!D8</f>
        <v>1.4669742337208073E-2</v>
      </c>
      <c r="E53" s="281">
        <f>E12/'IS (Base-Case)'!E8</f>
        <v>1.5033540018078308E-2</v>
      </c>
      <c r="F53" s="113">
        <f>F12/'IS (Base-Case)'!F8</f>
        <v>9.2774439396160081E-3</v>
      </c>
      <c r="G53" s="113">
        <f>G12/'IS (Base-Case)'!G8</f>
        <v>7.7960575070401619E-3</v>
      </c>
      <c r="H53" s="125">
        <f>H12/'IS (Base-Case)'!H8</f>
        <v>1.1618870857004896E-2</v>
      </c>
      <c r="I53" s="113">
        <f>I12/'IS (Base-Case)'!I8</f>
        <v>1.2723506784461259E-2</v>
      </c>
      <c r="J53" s="113">
        <f>J12/'IS (Base-Case)'!J8</f>
        <v>9.3900628783961833E-3</v>
      </c>
      <c r="K53" s="113">
        <f>K12/'IS (Base-Case)'!K8</f>
        <v>9.8055470026763899E-3</v>
      </c>
      <c r="L53" s="113">
        <f>L12/'IS (Base-Case)'!L8</f>
        <v>9.7693088939401224E-3</v>
      </c>
      <c r="M53" s="282">
        <f>M12/'IS (Base-Case)'!M8</f>
        <v>1.0570626753975675E-2</v>
      </c>
      <c r="N53" s="113">
        <f>N12/'IS (Base-Case)'!N8</f>
        <v>1.4712418881678371E-2</v>
      </c>
      <c r="O53" s="113">
        <f>O12/'IS (Base-Case)'!O8</f>
        <v>1.1397720455908821E-2</v>
      </c>
      <c r="P53" s="113">
        <f>P12/'IS (Base-Case)'!P8</f>
        <v>1.0671646768491964E-2</v>
      </c>
      <c r="Q53" s="113">
        <f>Q12/'IS (Base-Case)'!Q8</f>
        <v>7.8313918519155035E-3</v>
      </c>
      <c r="R53" s="282">
        <f>R12/'IS (Base-Case)'!R8</f>
        <v>1.0980502811366593E-2</v>
      </c>
      <c r="S53" s="113">
        <f>S12/'IS (Base-Case)'!S8</f>
        <v>1.1900029812183245E-2</v>
      </c>
      <c r="T53" s="113">
        <f>T12/'IS (Base-Case)'!T8</f>
        <v>6.9935564985069932E-3</v>
      </c>
      <c r="U53" s="113">
        <f>U12/'IS (Base-Case)'!U8</f>
        <v>7.0428583698359517E-3</v>
      </c>
      <c r="V53" s="35">
        <f>AVERAGE(U53,T53,S53,Q53)</f>
        <v>8.4419591331104243E-3</v>
      </c>
      <c r="W53" s="282"/>
      <c r="X53" s="35">
        <f>AVERAGE(V53,U53,T53,S53)</f>
        <v>8.5946009534091546E-3</v>
      </c>
      <c r="Y53" s="35">
        <f>AVERAGE(X53,V53,U53,T53)</f>
        <v>7.7682437387156314E-3</v>
      </c>
      <c r="Z53" s="35">
        <f>AVERAGE(Y53,X53,V53,U53)</f>
        <v>7.9619155487677899E-3</v>
      </c>
      <c r="AA53" s="35">
        <f>AVERAGE(Z53,Y53,X53,V53)</f>
        <v>8.1916798435007487E-3</v>
      </c>
      <c r="AB53" s="282"/>
      <c r="AC53" s="35">
        <f>AVERAGE(AA53,Z53,Y53,X53)</f>
        <v>8.1291100210983298E-3</v>
      </c>
      <c r="AD53" s="35">
        <f>AVERAGE(AC53,AA53,Z53,Y53)</f>
        <v>8.0127372880206254E-3</v>
      </c>
      <c r="AE53" s="35">
        <f>AVERAGE(AD53,AC53,AA53,Z53)</f>
        <v>8.0738606753468726E-3</v>
      </c>
      <c r="AF53" s="35">
        <f>AVERAGE(AE53,AD53,AC53,AA53)</f>
        <v>8.101846956991645E-3</v>
      </c>
      <c r="AG53" s="282"/>
      <c r="AH53" s="35">
        <f>AVERAGE(AF53,AE53,AD53,AC53)</f>
        <v>8.0793887353643699E-3</v>
      </c>
      <c r="AI53" s="35">
        <f>AVERAGE(AH53,AF53,AE53,AD53)</f>
        <v>8.0669584139308782E-3</v>
      </c>
      <c r="AJ53" s="35">
        <f>AVERAGE(AI53,AH53,AF53,AE53)</f>
        <v>8.0805136954084419E-3</v>
      </c>
      <c r="AK53" s="35">
        <f>AVERAGE(AJ53,AI53,AH53,AF53)</f>
        <v>8.0821769504238333E-3</v>
      </c>
      <c r="AL53" s="282"/>
      <c r="AM53" s="35">
        <f>AVERAGE(AK53,AJ53,AI53,AH53)</f>
        <v>8.0772594487818813E-3</v>
      </c>
      <c r="AN53" s="35">
        <f>AVERAGE(AM53,AK53,AJ53,AI53)</f>
        <v>8.0767271271362587E-3</v>
      </c>
      <c r="AO53" s="35">
        <f>AVERAGE(AN53,AM53,AK53,AJ53)</f>
        <v>8.0791693054376047E-3</v>
      </c>
      <c r="AP53" s="35">
        <f>AVERAGE(AO53,AN53,AM53,AK53)</f>
        <v>8.0788332079448945E-3</v>
      </c>
      <c r="AQ53" s="282"/>
      <c r="AR53" s="35">
        <f>AVERAGE(AP53,AO53,AN53,AM53)</f>
        <v>8.0779972723251606E-3</v>
      </c>
      <c r="AS53" s="35">
        <f>AVERAGE(AR53,AP53,AO53,AN53)</f>
        <v>8.0781817282109796E-3</v>
      </c>
      <c r="AT53" s="35">
        <f>AVERAGE(AS53,AR53,AP53,AO53)</f>
        <v>8.0785453784796603E-3</v>
      </c>
      <c r="AU53" s="35">
        <f>AVERAGE(AT53,AS53,AR53,AP53)</f>
        <v>8.0783893967401738E-3</v>
      </c>
      <c r="AV53" s="282"/>
    </row>
    <row r="54" spans="2:48" s="23" customFormat="1" outlineLevel="1" x14ac:dyDescent="0.3">
      <c r="B54" s="200" t="s">
        <v>310</v>
      </c>
      <c r="C54" s="201"/>
      <c r="D54" s="351">
        <f t="shared" ref="D54" si="39">+D10/-D9</f>
        <v>1.1581818181818182</v>
      </c>
      <c r="E54" s="351">
        <f t="shared" ref="E54:U54" si="40">+E10/-E9</f>
        <v>0.55639097744360888</v>
      </c>
      <c r="F54" s="113">
        <f t="shared" si="40"/>
        <v>1.0682852807283763</v>
      </c>
      <c r="G54" s="113">
        <f t="shared" si="40"/>
        <v>0.69411764705882406</v>
      </c>
      <c r="H54" s="125">
        <f t="shared" si="40"/>
        <v>0.86512370311252995</v>
      </c>
      <c r="I54" s="113">
        <f t="shared" si="40"/>
        <v>1.0222575516693164</v>
      </c>
      <c r="J54" s="113">
        <f t="shared" si="40"/>
        <v>0.63295880149812733</v>
      </c>
      <c r="K54" s="113">
        <f t="shared" si="40"/>
        <v>1.0227272727272729</v>
      </c>
      <c r="L54" s="113">
        <f t="shared" si="40"/>
        <v>0.63109756097560987</v>
      </c>
      <c r="M54" s="282">
        <f t="shared" si="40"/>
        <v>0.81118631991449952</v>
      </c>
      <c r="N54" s="113">
        <f t="shared" si="40"/>
        <v>1.1188405797101451</v>
      </c>
      <c r="O54" s="113">
        <f t="shared" si="40"/>
        <v>0.85072231139646837</v>
      </c>
      <c r="P54" s="113">
        <f t="shared" si="40"/>
        <v>0.9018691588785045</v>
      </c>
      <c r="Q54" s="113">
        <f t="shared" si="40"/>
        <v>1.0027522935779816</v>
      </c>
      <c r="R54" s="282">
        <f t="shared" si="40"/>
        <v>0.96746328822343797</v>
      </c>
      <c r="S54" s="113">
        <f t="shared" si="40"/>
        <v>0.96351931330472096</v>
      </c>
      <c r="T54" s="113">
        <f t="shared" si="40"/>
        <v>0.77531206657420249</v>
      </c>
      <c r="U54" s="113">
        <f t="shared" si="40"/>
        <v>0.80106571936056836</v>
      </c>
      <c r="V54" s="35">
        <v>1</v>
      </c>
      <c r="W54" s="282"/>
      <c r="X54" s="35">
        <v>1</v>
      </c>
      <c r="Y54" s="35">
        <v>1</v>
      </c>
      <c r="Z54" s="35">
        <v>1</v>
      </c>
      <c r="AA54" s="35">
        <v>1</v>
      </c>
      <c r="AB54" s="282"/>
      <c r="AC54" s="35">
        <v>1</v>
      </c>
      <c r="AD54" s="35">
        <v>1</v>
      </c>
      <c r="AE54" s="35">
        <v>1</v>
      </c>
      <c r="AF54" s="35">
        <v>1</v>
      </c>
      <c r="AG54" s="282"/>
      <c r="AH54" s="35">
        <v>1</v>
      </c>
      <c r="AI54" s="35">
        <v>1</v>
      </c>
      <c r="AJ54" s="35">
        <v>1</v>
      </c>
      <c r="AK54" s="35">
        <v>1</v>
      </c>
      <c r="AL54" s="282"/>
      <c r="AM54" s="35">
        <v>1</v>
      </c>
      <c r="AN54" s="35">
        <v>1</v>
      </c>
      <c r="AO54" s="35">
        <v>1</v>
      </c>
      <c r="AP54" s="35">
        <v>1</v>
      </c>
      <c r="AQ54" s="282"/>
      <c r="AR54" s="35">
        <v>1</v>
      </c>
      <c r="AS54" s="35">
        <v>1</v>
      </c>
      <c r="AT54" s="35">
        <v>1</v>
      </c>
      <c r="AU54" s="35">
        <v>1</v>
      </c>
      <c r="AV54" s="282"/>
    </row>
    <row r="55" spans="2:48" s="23" customFormat="1" outlineLevel="1" x14ac:dyDescent="0.3">
      <c r="B55" s="435" t="s">
        <v>311</v>
      </c>
      <c r="C55" s="436"/>
      <c r="D55" s="352"/>
      <c r="E55" s="352"/>
      <c r="F55" s="352"/>
      <c r="G55" s="352"/>
      <c r="H55" s="353"/>
      <c r="I55" s="352">
        <f t="shared" ref="I55" si="41">I22/D22-1</f>
        <v>-0.22820512820512895</v>
      </c>
      <c r="J55" s="352">
        <f t="shared" ref="J55" si="42">J22/E22-1</f>
        <v>-4.4869364754098413</v>
      </c>
      <c r="K55" s="352">
        <f t="shared" ref="K55" si="43">K22/F22-1</f>
        <v>-1.314434752864716</v>
      </c>
      <c r="L55" s="352">
        <f t="shared" ref="L55" si="44">L22/G22-1</f>
        <v>0.34527569713924766</v>
      </c>
      <c r="M55" s="353">
        <f t="shared" ref="M55" si="45">M22/H22-1</f>
        <v>-0.68340961778517451</v>
      </c>
      <c r="N55" s="352">
        <f t="shared" ref="N55" si="46">N22/I22-1</f>
        <v>-2.1785305811139466E-4</v>
      </c>
      <c r="O55" s="352">
        <f t="shared" ref="O55" si="47">O22/J22-1</f>
        <v>-1.649232351428781</v>
      </c>
      <c r="P55" s="352">
        <f t="shared" ref="P55" si="48">P22/K22-1</f>
        <v>-5.7565950503127619</v>
      </c>
      <c r="Q55" s="352">
        <f t="shared" ref="Q55" si="49">Q22/L22-1</f>
        <v>2.012477359629572E-2</v>
      </c>
      <c r="R55" s="353">
        <f t="shared" ref="R55" si="50">R22/M22-1</f>
        <v>2.7484040555764064</v>
      </c>
      <c r="S55" s="352">
        <f t="shared" ref="S55" si="51">S22/N22-1</f>
        <v>1.9175246499972598E-2</v>
      </c>
      <c r="T55" s="352">
        <f t="shared" ref="T55" si="52">T22/O22-1</f>
        <v>-0.81681375876895213</v>
      </c>
      <c r="U55" s="352">
        <f t="shared" ref="U55" si="53">U22/P22-1</f>
        <v>-0.27684391080617499</v>
      </c>
      <c r="V55" s="352">
        <f t="shared" ref="V55:AV55" si="54">V22/Q22-1</f>
        <v>-0.12064240558931372</v>
      </c>
      <c r="W55" s="353">
        <f t="shared" si="54"/>
        <v>-0.22613385864216728</v>
      </c>
      <c r="X55" s="352">
        <f t="shared" si="54"/>
        <v>-0.10151519278243049</v>
      </c>
      <c r="Y55" s="352">
        <f t="shared" si="54"/>
        <v>3.42008860876326</v>
      </c>
      <c r="Z55" s="352">
        <f t="shared" si="54"/>
        <v>-0.15006052484644972</v>
      </c>
      <c r="AA55" s="352">
        <f t="shared" si="54"/>
        <v>0.45536887484654054</v>
      </c>
      <c r="AB55" s="353">
        <f t="shared" si="54"/>
        <v>0.16892238661618042</v>
      </c>
      <c r="AC55" s="352">
        <f t="shared" si="54"/>
        <v>0.24691883730583397</v>
      </c>
      <c r="AD55" s="352">
        <f t="shared" si="54"/>
        <v>0.37530176562116235</v>
      </c>
      <c r="AE55" s="352">
        <f t="shared" si="54"/>
        <v>0.34612643463409065</v>
      </c>
      <c r="AF55" s="352">
        <f t="shared" si="54"/>
        <v>-2.4736637203284673E-2</v>
      </c>
      <c r="AG55" s="353">
        <f t="shared" si="54"/>
        <v>0.18597703626609663</v>
      </c>
      <c r="AH55" s="352">
        <f t="shared" si="54"/>
        <v>0.10455238731064909</v>
      </c>
      <c r="AI55" s="352">
        <f t="shared" si="54"/>
        <v>0.14187144563770904</v>
      </c>
      <c r="AJ55" s="352">
        <f t="shared" si="54"/>
        <v>0.12148208131993044</v>
      </c>
      <c r="AK55" s="352">
        <f t="shared" si="54"/>
        <v>0.15953319173870306</v>
      </c>
      <c r="AL55" s="353">
        <f t="shared" si="54"/>
        <v>0.13032267196899072</v>
      </c>
      <c r="AM55" s="352">
        <f t="shared" si="54"/>
        <v>0.1149130411792938</v>
      </c>
      <c r="AN55" s="352">
        <f t="shared" si="54"/>
        <v>8.9404302951813452E-2</v>
      </c>
      <c r="AO55" s="352">
        <f t="shared" si="54"/>
        <v>6.9080402285330411E-2</v>
      </c>
      <c r="AP55" s="352">
        <f t="shared" si="54"/>
        <v>9.958950546862444E-2</v>
      </c>
      <c r="AQ55" s="353">
        <f t="shared" si="54"/>
        <v>9.6080872136399931E-2</v>
      </c>
      <c r="AR55" s="352">
        <f t="shared" si="54"/>
        <v>9.386363477630888E-2</v>
      </c>
      <c r="AS55" s="352">
        <f t="shared" si="54"/>
        <v>9.4543381641309043E-2</v>
      </c>
      <c r="AT55" s="352">
        <f t="shared" si="54"/>
        <v>0.10685952229781392</v>
      </c>
      <c r="AU55" s="352">
        <f t="shared" si="54"/>
        <v>5.8776324102133071E-2</v>
      </c>
      <c r="AV55" s="353">
        <f t="shared" si="54"/>
        <v>8.6134022948332944E-2</v>
      </c>
    </row>
    <row r="56" spans="2:48" outlineLevel="1" x14ac:dyDescent="0.3">
      <c r="B56" s="200" t="s">
        <v>312</v>
      </c>
      <c r="C56" s="356"/>
      <c r="D56" s="351">
        <f>-D25/'IS (Base-Case)'!D8</f>
        <v>6.5041385860961587E-2</v>
      </c>
      <c r="E56" s="351">
        <f>-E25/'IS (Base-Case)'!E8</f>
        <v>6.5684517673924428E-2</v>
      </c>
      <c r="F56" s="113">
        <f>-F25/'IS (Base-Case)'!F8</f>
        <v>6.3769602814011436E-2</v>
      </c>
      <c r="G56" s="113">
        <f>-G25/'IS (Base-Case)'!G8</f>
        <v>7.7945753668297008E-2</v>
      </c>
      <c r="H56" s="363">
        <f>-H25/'IS (Base-Case)'!H8</f>
        <v>6.8151467825535855E-2</v>
      </c>
      <c r="I56" s="354">
        <f>-I25/'IS (Base-Case)'!I8</f>
        <v>5.555790393259219E-2</v>
      </c>
      <c r="J56" s="118">
        <f>-J25/'IS (Base-Case)'!J8</f>
        <v>6.0710175625865198E-2</v>
      </c>
      <c r="K56" s="118">
        <f>-K25/'IS (Base-Case)'!K8</f>
        <v>9.0026290234717338E-2</v>
      </c>
      <c r="L56" s="113">
        <f>-L25/'IS (Base-Case)'!L8</f>
        <v>5.5649594557559891E-2</v>
      </c>
      <c r="M56" s="353">
        <f>-M25/'IS (Base-Case)'!M8</f>
        <v>6.3083595543838744E-2</v>
      </c>
      <c r="N56" s="354">
        <f>-N25/'IS (Base-Case)'!N8</f>
        <v>4.8033899309568251E-2</v>
      </c>
      <c r="O56" s="118">
        <f>-O25/'IS (Base-Case)'!O8</f>
        <v>4.8545290941811634E-2</v>
      </c>
      <c r="P56" s="118">
        <f>-P25/'IS (Base-Case)'!P8</f>
        <v>4.5061028479957313E-2</v>
      </c>
      <c r="Q56" s="118">
        <f>-Q25/'IS (Base-Case)'!Q8</f>
        <v>5.9447383603176751E-2</v>
      </c>
      <c r="R56" s="353">
        <f>-R25/'IS (Base-Case)'!R8</f>
        <v>5.058395215515165E-2</v>
      </c>
      <c r="S56" s="354">
        <f>-S25/'IS (Base-Case)'!S8</f>
        <v>5.1773824903110409E-2</v>
      </c>
      <c r="T56" s="118">
        <f>-T25/'IS (Base-Case)'!T8</f>
        <v>5.9602388810309603E-2</v>
      </c>
      <c r="U56" s="118">
        <f>-U25/'IS (Base-Case)'!U8</f>
        <v>5.1962552606716499E-2</v>
      </c>
      <c r="V56" s="35">
        <v>5.8826938051629606E-2</v>
      </c>
      <c r="W56" s="353">
        <f>-W25/'IS (Base-Case)'!W8</f>
        <v>5.5502154447597589E-2</v>
      </c>
      <c r="X56" s="355">
        <v>7.7136381046238753E-2</v>
      </c>
      <c r="Y56" s="355">
        <f>X56</f>
        <v>7.7136381046238753E-2</v>
      </c>
      <c r="Z56" s="355">
        <f>Y56</f>
        <v>7.7136381046238753E-2</v>
      </c>
      <c r="AA56" s="355">
        <f>Z56</f>
        <v>7.7136381046238753E-2</v>
      </c>
      <c r="AB56" s="353">
        <f>-AB25/'IS (Base-Case)'!AB8</f>
        <v>7.7136381046238753E-2</v>
      </c>
      <c r="AC56" s="355">
        <v>6.9833183676169711E-2</v>
      </c>
      <c r="AD56" s="35">
        <f>AC56</f>
        <v>6.9833183676169711E-2</v>
      </c>
      <c r="AE56" s="35">
        <f>AD56</f>
        <v>6.9833183676169711E-2</v>
      </c>
      <c r="AF56" s="35">
        <f>AE56</f>
        <v>6.9833183676169711E-2</v>
      </c>
      <c r="AG56" s="353">
        <f>-AG25/'IS (Base-Case)'!AG8</f>
        <v>6.9833183676169711E-2</v>
      </c>
      <c r="AH56" s="355">
        <v>6.2598056291917614E-2</v>
      </c>
      <c r="AI56" s="35">
        <f>AH56</f>
        <v>6.2598056291917614E-2</v>
      </c>
      <c r="AJ56" s="35">
        <f>AI56</f>
        <v>6.2598056291917614E-2</v>
      </c>
      <c r="AK56" s="35">
        <f>AJ56</f>
        <v>6.2598056291917614E-2</v>
      </c>
      <c r="AL56" s="353">
        <f>-AL25/'IS (Base-Case)'!AL8</f>
        <v>6.2598056291917614E-2</v>
      </c>
      <c r="AM56" s="355">
        <f>AVERAGE(AH56,AI56,AJ56,AK56)</f>
        <v>6.2598056291917614E-2</v>
      </c>
      <c r="AN56" s="35">
        <f>AVERAGE(AI56,AJ56,AK56,AM56)</f>
        <v>6.2598056291917614E-2</v>
      </c>
      <c r="AO56" s="35">
        <f>AVERAGE(AN56,AM56,AK56,AJ56)</f>
        <v>6.2598056291917614E-2</v>
      </c>
      <c r="AP56" s="35">
        <f>AVERAGE(AO56,AN56,AM56,AK56)</f>
        <v>6.2598056291917614E-2</v>
      </c>
      <c r="AQ56" s="353">
        <f>-AQ25/'IS (Base-Case)'!AQ8</f>
        <v>6.2598056291917614E-2</v>
      </c>
      <c r="AR56" s="355">
        <f>AVERAGE(AM56,AN56,AO56,AP56)</f>
        <v>6.2598056291917614E-2</v>
      </c>
      <c r="AS56" s="35">
        <f>AVERAGE(AN56,AO56,AP56,AR56)</f>
        <v>6.2598056291917614E-2</v>
      </c>
      <c r="AT56" s="35">
        <f>AVERAGE(AS56,AR56,AP56,AO56)</f>
        <v>6.2598056291917614E-2</v>
      </c>
      <c r="AU56" s="35">
        <f>AVERAGE(AT56,AS56,AR56,AP56)</f>
        <v>6.2598056291917614E-2</v>
      </c>
      <c r="AV56" s="353">
        <f>-AV25/'IS (Base-Case)'!AV8</f>
        <v>6.25980562919176E-2</v>
      </c>
    </row>
    <row r="57" spans="2:48" outlineLevel="1" x14ac:dyDescent="0.3">
      <c r="B57" s="200" t="s">
        <v>313</v>
      </c>
      <c r="C57" s="356"/>
      <c r="D57" s="299">
        <f>-D34-D33</f>
        <v>5561.4</v>
      </c>
      <c r="E57" s="299">
        <f t="shared" ref="E57:AV57" si="55">-E34-E33</f>
        <v>3161</v>
      </c>
      <c r="F57" s="146">
        <f t="shared" si="55"/>
        <v>581.20000000000005</v>
      </c>
      <c r="G57" s="146">
        <f t="shared" si="55"/>
        <v>2679.9999999999995</v>
      </c>
      <c r="H57" s="122">
        <f t="shared" si="55"/>
        <v>11983.599999999999</v>
      </c>
      <c r="I57" s="299">
        <f t="shared" si="55"/>
        <v>1575.6000000000001</v>
      </c>
      <c r="J57" s="146">
        <f t="shared" si="55"/>
        <v>1088.5</v>
      </c>
      <c r="K57" s="146">
        <f t="shared" si="55"/>
        <v>479.00000000000006</v>
      </c>
      <c r="L57" s="146">
        <f t="shared" si="55"/>
        <v>479.3</v>
      </c>
      <c r="M57" s="122">
        <f t="shared" si="55"/>
        <v>3622.4</v>
      </c>
      <c r="N57" s="299">
        <f t="shared" si="55"/>
        <v>528.20000000000005</v>
      </c>
      <c r="O57" s="146">
        <f t="shared" si="55"/>
        <v>529.79999999999995</v>
      </c>
      <c r="P57" s="146">
        <f t="shared" si="55"/>
        <v>530.20000000000005</v>
      </c>
      <c r="Q57" s="146">
        <f t="shared" si="55"/>
        <v>530.79999999999995</v>
      </c>
      <c r="R57" s="122">
        <f t="shared" si="55"/>
        <v>2119</v>
      </c>
      <c r="S57" s="299">
        <f t="shared" si="55"/>
        <v>4096.8999999999996</v>
      </c>
      <c r="T57" s="146">
        <f t="shared" si="55"/>
        <v>1039.8</v>
      </c>
      <c r="U57" s="146">
        <f t="shared" si="55"/>
        <v>577.39999999999986</v>
      </c>
      <c r="V57" s="146">
        <f t="shared" si="55"/>
        <v>591.31176300000004</v>
      </c>
      <c r="W57" s="122">
        <f>-W34-W33</f>
        <v>6305.4117630000001</v>
      </c>
      <c r="X57" s="299">
        <f t="shared" si="55"/>
        <v>592.49438652600008</v>
      </c>
      <c r="Y57" s="299">
        <f t="shared" si="55"/>
        <v>593.67937529905203</v>
      </c>
      <c r="Z57" s="299">
        <f t="shared" si="55"/>
        <v>594.86673404965018</v>
      </c>
      <c r="AA57" s="299">
        <f t="shared" si="55"/>
        <v>625.85929089363685</v>
      </c>
      <c r="AB57" s="166">
        <f t="shared" si="55"/>
        <v>2406.8997867683393</v>
      </c>
      <c r="AC57" s="299">
        <f t="shared" si="55"/>
        <v>592.49438652600008</v>
      </c>
      <c r="AD57" s="146">
        <f t="shared" si="55"/>
        <v>593.67937529905203</v>
      </c>
      <c r="AE57" s="146">
        <f t="shared" si="55"/>
        <v>694.86673404965018</v>
      </c>
      <c r="AF57" s="146">
        <f t="shared" si="55"/>
        <v>725.85929089363685</v>
      </c>
      <c r="AG57" s="166">
        <f t="shared" si="55"/>
        <v>2606.8997867683393</v>
      </c>
      <c r="AH57" s="299">
        <f t="shared" si="55"/>
        <v>727.11100947542411</v>
      </c>
      <c r="AI57" s="146">
        <f t="shared" si="55"/>
        <v>728.36523149437494</v>
      </c>
      <c r="AJ57" s="146">
        <f t="shared" si="55"/>
        <v>5820.1281347968697</v>
      </c>
      <c r="AK57" s="146">
        <f>-AK34-AK33</f>
        <v>5852.3871921012687</v>
      </c>
      <c r="AL57" s="122">
        <f t="shared" si="55"/>
        <v>13127.991567867937</v>
      </c>
      <c r="AM57" s="299">
        <f t="shared" si="55"/>
        <v>912.21613932497689</v>
      </c>
      <c r="AN57" s="146">
        <f t="shared" si="55"/>
        <v>913.04674444313298</v>
      </c>
      <c r="AO57" s="146">
        <f t="shared" si="55"/>
        <v>888.73827003078475</v>
      </c>
      <c r="AP57" s="146">
        <f t="shared" si="55"/>
        <v>895.1002376030923</v>
      </c>
      <c r="AQ57" s="122">
        <f t="shared" si="55"/>
        <v>3609.1013914019873</v>
      </c>
      <c r="AR57" s="299">
        <f t="shared" si="55"/>
        <v>895.14665698377121</v>
      </c>
      <c r="AS57" s="146">
        <f t="shared" si="55"/>
        <v>895.19316920321137</v>
      </c>
      <c r="AT57" s="146">
        <f t="shared" si="55"/>
        <v>895.23977444709055</v>
      </c>
      <c r="AU57" s="146">
        <f t="shared" si="55"/>
        <v>908.1922023594866</v>
      </c>
      <c r="AV57" s="122">
        <f t="shared" si="55"/>
        <v>3593.7718029935595</v>
      </c>
    </row>
    <row r="58" spans="2:48" outlineLevel="1" x14ac:dyDescent="0.3">
      <c r="B58" s="203" t="s">
        <v>314</v>
      </c>
      <c r="C58" s="364"/>
      <c r="D58" s="365"/>
      <c r="E58" s="365"/>
      <c r="F58" s="366"/>
      <c r="G58" s="366"/>
      <c r="H58" s="367"/>
      <c r="I58" s="365"/>
      <c r="J58" s="366"/>
      <c r="K58" s="366"/>
      <c r="L58" s="366"/>
      <c r="M58" s="367"/>
      <c r="N58" s="365"/>
      <c r="O58" s="366"/>
      <c r="P58" s="366"/>
      <c r="Q58" s="366"/>
      <c r="R58" s="367"/>
      <c r="S58" s="365"/>
      <c r="T58" s="366"/>
      <c r="U58" s="366"/>
      <c r="V58" s="366"/>
      <c r="W58" s="367"/>
      <c r="X58" s="365">
        <f>X57</f>
        <v>592.49438652600008</v>
      </c>
      <c r="Y58" s="365">
        <f>+Y57+X58</f>
        <v>1186.1737618250522</v>
      </c>
      <c r="Z58" s="365">
        <f t="shared" ref="Z58:AA58" si="56">+Z57+Y58</f>
        <v>1781.0404958747024</v>
      </c>
      <c r="AA58" s="365">
        <f t="shared" si="56"/>
        <v>2406.8997867683393</v>
      </c>
      <c r="AB58" s="368">
        <f>AA58</f>
        <v>2406.8997867683393</v>
      </c>
      <c r="AC58" s="365">
        <f>AA58+AC57</f>
        <v>2999.3941732943395</v>
      </c>
      <c r="AD58" s="365">
        <f>AC58+AD57</f>
        <v>3593.0735485933915</v>
      </c>
      <c r="AE58" s="365">
        <f t="shared" ref="AE58:AF58" si="57">AD58+AE57</f>
        <v>4287.9402826430414</v>
      </c>
      <c r="AF58" s="365">
        <f t="shared" si="57"/>
        <v>5013.7995735366785</v>
      </c>
      <c r="AG58" s="368">
        <f>+AF58</f>
        <v>5013.7995735366785</v>
      </c>
      <c r="AH58" s="365">
        <f>AF58+AH57</f>
        <v>5740.9105830121025</v>
      </c>
      <c r="AI58" s="365">
        <f>AH58+AI57</f>
        <v>6469.2758145064772</v>
      </c>
      <c r="AJ58" s="365">
        <f t="shared" ref="AJ58" si="58">AI58+AJ57</f>
        <v>12289.403949303347</v>
      </c>
      <c r="AK58" s="365">
        <f>AJ58+AK57</f>
        <v>18141.791141404618</v>
      </c>
      <c r="AL58" s="394">
        <f>+AK58</f>
        <v>18141.791141404618</v>
      </c>
      <c r="AM58" s="365"/>
      <c r="AN58" s="366"/>
      <c r="AO58" s="366"/>
      <c r="AP58" s="366"/>
      <c r="AQ58" s="367"/>
      <c r="AR58" s="365"/>
      <c r="AS58" s="366"/>
      <c r="AT58" s="366"/>
      <c r="AU58" s="366"/>
      <c r="AV58" s="367"/>
    </row>
    <row r="59" spans="2:48" x14ac:dyDescent="0.3">
      <c r="B59" s="395" t="s">
        <v>330</v>
      </c>
      <c r="C59" s="396"/>
      <c r="D59" s="397"/>
      <c r="E59" s="397"/>
      <c r="F59" s="398"/>
      <c r="G59" s="398"/>
      <c r="H59" s="398"/>
      <c r="I59" s="397"/>
      <c r="J59" s="397"/>
      <c r="K59" s="398"/>
      <c r="L59" s="398"/>
      <c r="M59" s="398"/>
      <c r="N59" s="397"/>
      <c r="O59" s="397"/>
      <c r="P59" s="398"/>
      <c r="Q59" s="398"/>
      <c r="R59" s="398"/>
      <c r="S59" s="397"/>
      <c r="T59" s="397"/>
      <c r="U59" s="398"/>
      <c r="V59" s="398"/>
      <c r="W59" s="398"/>
      <c r="X59" s="397"/>
      <c r="Y59" s="397"/>
      <c r="Z59" s="398"/>
      <c r="AA59" s="398"/>
      <c r="AB59" s="398"/>
      <c r="AC59" s="397"/>
      <c r="AD59" s="397"/>
      <c r="AE59" s="398"/>
      <c r="AF59" s="398"/>
      <c r="AG59" s="398"/>
      <c r="AH59" s="397"/>
      <c r="AI59" s="397"/>
      <c r="AJ59" s="398"/>
      <c r="AK59" s="398"/>
      <c r="AL59" s="403">
        <f>('IS (Base-Case)'!AL34/'IS (Base-Case)'!W34)^(1/3)-1</f>
        <v>0.17678391577647634</v>
      </c>
    </row>
    <row r="60" spans="2:48" x14ac:dyDescent="0.3">
      <c r="B60" s="308" t="s">
        <v>331</v>
      </c>
      <c r="D60" s="399"/>
      <c r="E60" s="399"/>
      <c r="I60" s="399"/>
      <c r="J60" s="399"/>
      <c r="N60" s="399"/>
      <c r="O60" s="399"/>
      <c r="S60" s="399"/>
      <c r="T60" s="399"/>
      <c r="X60" s="399"/>
      <c r="Y60" s="399"/>
      <c r="AC60" s="399"/>
      <c r="AD60" s="399"/>
      <c r="AH60" s="399"/>
      <c r="AI60" s="399"/>
      <c r="AL60" s="29">
        <v>0.1668</v>
      </c>
    </row>
    <row r="61" spans="2:48" x14ac:dyDescent="0.3">
      <c r="B61" s="311" t="s">
        <v>332</v>
      </c>
      <c r="C61" s="400"/>
      <c r="D61" s="401"/>
      <c r="E61" s="401"/>
      <c r="F61" s="402"/>
      <c r="G61" s="402"/>
      <c r="H61" s="402"/>
      <c r="I61" s="401"/>
      <c r="J61" s="401"/>
      <c r="K61" s="402"/>
      <c r="L61" s="402"/>
      <c r="M61" s="402"/>
      <c r="N61" s="401"/>
      <c r="O61" s="401"/>
      <c r="P61" s="402"/>
      <c r="Q61" s="402"/>
      <c r="R61" s="402"/>
      <c r="S61" s="401"/>
      <c r="T61" s="401"/>
      <c r="U61" s="402"/>
      <c r="V61" s="402"/>
      <c r="W61" s="402"/>
      <c r="X61" s="401"/>
      <c r="Y61" s="401"/>
      <c r="Z61" s="402"/>
      <c r="AA61" s="402"/>
      <c r="AB61" s="402"/>
      <c r="AC61" s="401"/>
      <c r="AD61" s="401"/>
      <c r="AE61" s="402"/>
      <c r="AF61" s="402"/>
      <c r="AG61" s="402"/>
      <c r="AH61" s="401"/>
      <c r="AI61" s="401"/>
      <c r="AJ61" s="402"/>
      <c r="AK61" s="402"/>
      <c r="AL61" s="404">
        <f>AL59-AL60</f>
        <v>9.9839157764763375E-3</v>
      </c>
    </row>
    <row r="62" spans="2:48" s="23" customFormat="1" x14ac:dyDescent="0.3">
      <c r="B62" s="395" t="s">
        <v>333</v>
      </c>
      <c r="C62" s="409"/>
      <c r="D62" s="410"/>
      <c r="E62" s="410"/>
      <c r="F62" s="411"/>
      <c r="G62" s="411"/>
      <c r="H62" s="411"/>
      <c r="I62" s="410"/>
      <c r="J62" s="410"/>
      <c r="K62" s="411"/>
      <c r="L62" s="411"/>
      <c r="M62" s="411"/>
      <c r="N62" s="410"/>
      <c r="O62" s="410"/>
      <c r="P62" s="411"/>
      <c r="Q62" s="411"/>
      <c r="R62" s="411"/>
      <c r="S62" s="410"/>
      <c r="T62" s="410"/>
      <c r="U62" s="411"/>
      <c r="V62" s="411"/>
      <c r="W62" s="411"/>
      <c r="X62" s="410"/>
      <c r="Y62" s="410"/>
      <c r="Z62" s="411"/>
      <c r="AA62" s="411"/>
      <c r="AB62" s="411"/>
      <c r="AC62" s="410"/>
      <c r="AD62" s="410"/>
      <c r="AE62" s="411"/>
      <c r="AF62" s="411"/>
      <c r="AG62" s="411"/>
      <c r="AH62" s="410"/>
      <c r="AI62" s="410"/>
      <c r="AJ62" s="411"/>
      <c r="AK62" s="412"/>
      <c r="AL62" s="417">
        <f>(0.15+1)^3*2.88</f>
        <v>4.3801199999999989</v>
      </c>
      <c r="AM62" s="408"/>
      <c r="AN62" s="48"/>
      <c r="AO62" s="309"/>
      <c r="AP62" s="309"/>
      <c r="AQ62" s="309"/>
      <c r="AR62" s="48"/>
      <c r="AS62" s="48"/>
      <c r="AT62" s="309"/>
      <c r="AU62" s="309"/>
      <c r="AV62" s="309"/>
    </row>
    <row r="63" spans="2:48" s="23" customFormat="1" x14ac:dyDescent="0.3">
      <c r="B63" s="311" t="s">
        <v>334</v>
      </c>
      <c r="C63" s="413"/>
      <c r="D63" s="313"/>
      <c r="E63" s="313"/>
      <c r="F63" s="314"/>
      <c r="G63" s="314"/>
      <c r="H63" s="314"/>
      <c r="I63" s="313"/>
      <c r="J63" s="313"/>
      <c r="K63" s="314"/>
      <c r="L63" s="314"/>
      <c r="M63" s="314"/>
      <c r="N63" s="313"/>
      <c r="O63" s="313"/>
      <c r="P63" s="314"/>
      <c r="Q63" s="314"/>
      <c r="R63" s="314"/>
      <c r="S63" s="313"/>
      <c r="T63" s="313"/>
      <c r="U63" s="314"/>
      <c r="V63" s="314"/>
      <c r="W63" s="314"/>
      <c r="X63" s="313"/>
      <c r="Y63" s="313"/>
      <c r="Z63" s="314"/>
      <c r="AA63" s="314"/>
      <c r="AB63" s="314"/>
      <c r="AC63" s="313"/>
      <c r="AD63" s="313"/>
      <c r="AE63" s="314"/>
      <c r="AF63" s="314"/>
      <c r="AG63" s="314"/>
      <c r="AH63" s="313"/>
      <c r="AI63" s="313"/>
      <c r="AJ63" s="314"/>
      <c r="AK63" s="414"/>
      <c r="AL63" s="418">
        <f>(0.2+1)^3*2.88</f>
        <v>4.9766399999999997</v>
      </c>
      <c r="AM63" s="215"/>
      <c r="AN63" s="407"/>
      <c r="AO63" s="309"/>
      <c r="AP63" s="309"/>
      <c r="AQ63" s="309"/>
      <c r="AR63" s="48"/>
      <c r="AS63" s="48"/>
      <c r="AT63" s="309"/>
      <c r="AU63" s="309"/>
      <c r="AV63" s="309"/>
    </row>
    <row r="64" spans="2:48" s="23" customFormat="1" x14ac:dyDescent="0.3">
      <c r="B64" s="395" t="s">
        <v>344</v>
      </c>
      <c r="C64" s="409"/>
      <c r="D64" s="410"/>
      <c r="E64" s="410"/>
      <c r="F64" s="411"/>
      <c r="G64" s="411"/>
      <c r="H64" s="411"/>
      <c r="I64" s="410"/>
      <c r="J64" s="410"/>
      <c r="K64" s="411"/>
      <c r="L64" s="411"/>
      <c r="M64" s="411"/>
      <c r="N64" s="410"/>
      <c r="O64" s="410"/>
      <c r="P64" s="411"/>
      <c r="Q64" s="411"/>
      <c r="R64" s="411"/>
      <c r="S64" s="410"/>
      <c r="T64" s="410"/>
      <c r="U64" s="411"/>
      <c r="V64" s="411"/>
      <c r="W64" s="411"/>
      <c r="X64" s="410"/>
      <c r="Y64" s="410"/>
      <c r="Z64" s="411"/>
      <c r="AA64" s="411"/>
      <c r="AB64" s="411"/>
      <c r="AC64" s="410"/>
      <c r="AD64" s="410"/>
      <c r="AE64" s="411"/>
      <c r="AF64" s="411"/>
      <c r="AG64" s="411"/>
      <c r="AH64" s="410"/>
      <c r="AI64" s="410"/>
      <c r="AJ64" s="411"/>
      <c r="AK64" s="411"/>
      <c r="AL64" s="403">
        <f>(('IS (Base-Case)'!AK57+'IS (Base-Case)'!AK90)/('IS (Base-Case)'!V57+'IS (Base-Case)'!V90))^(1/3)-1</f>
        <v>7.0002254704243816E-2</v>
      </c>
      <c r="AM64" s="16"/>
      <c r="AN64" s="48"/>
      <c r="AO64" s="309"/>
      <c r="AP64" s="309"/>
      <c r="AQ64" s="309"/>
      <c r="AR64" s="48"/>
      <c r="AS64" s="48"/>
      <c r="AT64" s="309"/>
      <c r="AU64" s="309"/>
      <c r="AV64" s="309"/>
    </row>
    <row r="65" spans="2:48" s="23" customFormat="1" x14ac:dyDescent="0.3">
      <c r="B65" s="311" t="s">
        <v>345</v>
      </c>
      <c r="C65" s="413"/>
      <c r="D65" s="313"/>
      <c r="E65" s="313"/>
      <c r="F65" s="314"/>
      <c r="G65" s="314"/>
      <c r="H65" s="314"/>
      <c r="I65" s="313"/>
      <c r="J65" s="313"/>
      <c r="K65" s="314"/>
      <c r="L65" s="314"/>
      <c r="M65" s="314"/>
      <c r="N65" s="313"/>
      <c r="O65" s="313"/>
      <c r="P65" s="314"/>
      <c r="Q65" s="314"/>
      <c r="R65" s="314"/>
      <c r="S65" s="313"/>
      <c r="T65" s="313"/>
      <c r="U65" s="314"/>
      <c r="V65" s="314"/>
      <c r="W65" s="314"/>
      <c r="X65" s="313"/>
      <c r="Y65" s="313"/>
      <c r="Z65" s="314"/>
      <c r="AA65" s="314"/>
      <c r="AB65" s="314"/>
      <c r="AC65" s="313"/>
      <c r="AD65" s="313"/>
      <c r="AE65" s="314"/>
      <c r="AF65" s="314"/>
      <c r="AG65" s="314"/>
      <c r="AH65" s="313"/>
      <c r="AI65" s="313"/>
      <c r="AJ65" s="314"/>
      <c r="AK65" s="314"/>
      <c r="AL65" s="429">
        <f>('IS (Base-Case)'!AL8/'IS (Base-Case)'!W8)^(1/3)-1</f>
        <v>0.10997922210109468</v>
      </c>
      <c r="AM65" s="48"/>
      <c r="AN65" s="48"/>
      <c r="AO65" s="309"/>
      <c r="AP65" s="309"/>
      <c r="AQ65" s="309"/>
      <c r="AR65" s="48"/>
      <c r="AS65" s="48"/>
      <c r="AT65" s="309"/>
      <c r="AU65" s="309"/>
      <c r="AV65" s="309"/>
    </row>
  </sheetData>
  <dataConsolidate/>
  <mergeCells count="27">
    <mergeCell ref="B18:C18"/>
    <mergeCell ref="B3:C3"/>
    <mergeCell ref="B5:C5"/>
    <mergeCell ref="B14:C14"/>
    <mergeCell ref="B15:C15"/>
    <mergeCell ref="B17:C17"/>
    <mergeCell ref="B40:C40"/>
    <mergeCell ref="B21:C21"/>
    <mergeCell ref="B22:C22"/>
    <mergeCell ref="B23:C23"/>
    <mergeCell ref="B25:C25"/>
    <mergeCell ref="B26:C26"/>
    <mergeCell ref="B27:C27"/>
    <mergeCell ref="B28:C28"/>
    <mergeCell ref="B29:C29"/>
    <mergeCell ref="B36:C36"/>
    <mergeCell ref="B37:C37"/>
    <mergeCell ref="B39:C39"/>
    <mergeCell ref="B51:C51"/>
    <mergeCell ref="B52:C52"/>
    <mergeCell ref="B55:C55"/>
    <mergeCell ref="B41:C41"/>
    <mergeCell ref="B42:C42"/>
    <mergeCell ref="B44:C44"/>
    <mergeCell ref="B48:C48"/>
    <mergeCell ref="B49:C49"/>
    <mergeCell ref="B50:C50"/>
  </mergeCells>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B977F-B684-481B-8094-52749413FCF3}">
  <sheetPr>
    <tabColor theme="6" tint="0.79998168889431442"/>
    <pageSetUpPr fitToPage="1"/>
  </sheetPr>
  <dimension ref="A1:AV316"/>
  <sheetViews>
    <sheetView showGridLines="0" zoomScaleNormal="100" workbookViewId="0">
      <pane xSplit="3" ySplit="4" topLeftCell="AB44" activePane="bottomRight" state="frozen"/>
      <selection activeCell="B24" sqref="B24:C24"/>
      <selection pane="topRight" activeCell="B24" sqref="B24:C24"/>
      <selection pane="bottomLeft" activeCell="B24" sqref="B24:C24"/>
      <selection pane="bottomRight" activeCell="AF68" sqref="AF68"/>
    </sheetView>
  </sheetViews>
  <sheetFormatPr defaultColWidth="8.88671875" defaultRowHeight="14.4" outlineLevelRow="1" outlineLevelCol="1" x14ac:dyDescent="0.3"/>
  <cols>
    <col min="1" max="1" width="2" style="2" customWidth="1"/>
    <col min="2" max="2" width="39" style="2" customWidth="1"/>
    <col min="3" max="3" width="11.77734375" style="2" customWidth="1"/>
    <col min="4" max="5" width="11.5546875" style="1" customWidth="1" outlineLevel="1"/>
    <col min="6" max="7" width="11.5546875" style="3" customWidth="1" outlineLevel="1"/>
    <col min="8" max="8" width="11.5546875" style="3" customWidth="1"/>
    <col min="9" max="10" width="11.5546875" style="1" customWidth="1" outlineLevel="1"/>
    <col min="11" max="12" width="11.5546875" style="3" customWidth="1" outlineLevel="1"/>
    <col min="13" max="13" width="11.5546875" style="3" customWidth="1"/>
    <col min="14" max="15" width="11.5546875" style="1" customWidth="1" outlineLevel="1"/>
    <col min="16" max="17" width="11.5546875" style="3" customWidth="1" outlineLevel="1"/>
    <col min="18" max="18" width="11.5546875" style="3" customWidth="1"/>
    <col min="19" max="20" width="11.5546875" style="1" customWidth="1" outlineLevel="1"/>
    <col min="21" max="22" width="11.5546875" style="3" customWidth="1" outlineLevel="1"/>
    <col min="23" max="23" width="11.5546875" style="3" customWidth="1"/>
    <col min="24" max="25" width="11.5546875" style="1" customWidth="1" outlineLevel="1"/>
    <col min="26" max="27" width="11.5546875" style="3" customWidth="1" outlineLevel="1"/>
    <col min="28" max="28" width="11.5546875" style="3" customWidth="1"/>
    <col min="29" max="30" width="11.5546875" style="1" customWidth="1" outlineLevel="1"/>
    <col min="31" max="32" width="11.5546875" style="3" customWidth="1" outlineLevel="1"/>
    <col min="33" max="33" width="11.5546875" style="3" customWidth="1"/>
    <col min="34" max="35" width="11.5546875" style="1" customWidth="1" outlineLevel="1"/>
    <col min="36" max="37" width="11.5546875" style="3" customWidth="1" outlineLevel="1"/>
    <col min="38" max="38" width="11.5546875" style="3" customWidth="1"/>
    <col min="39" max="40" width="11.5546875" style="1" customWidth="1" outlineLevel="1"/>
    <col min="41" max="42" width="11.5546875" style="3" customWidth="1" outlineLevel="1"/>
    <col min="43" max="43" width="11.5546875" style="3" customWidth="1"/>
    <col min="44" max="45" width="11.5546875" style="1" customWidth="1" outlineLevel="1"/>
    <col min="46" max="47" width="11.5546875" style="3" customWidth="1" outlineLevel="1"/>
    <col min="48" max="48" width="11.5546875" style="3" customWidth="1"/>
    <col min="49" max="16384" width="8.88671875" style="2"/>
  </cols>
  <sheetData>
    <row r="1" spans="1:48" ht="16.2" customHeight="1" x14ac:dyDescent="0.3">
      <c r="B1" s="237" t="s">
        <v>210</v>
      </c>
      <c r="C1" s="370"/>
      <c r="D1" s="45"/>
      <c r="E1" s="149"/>
      <c r="F1" s="149"/>
      <c r="G1" s="149"/>
      <c r="H1" s="149"/>
      <c r="I1" s="369"/>
      <c r="J1" s="369"/>
      <c r="K1" s="369"/>
      <c r="L1" s="369"/>
      <c r="M1" s="369"/>
      <c r="N1" s="369"/>
      <c r="O1" s="369"/>
      <c r="P1" s="369"/>
      <c r="Q1" s="369"/>
      <c r="R1" s="369"/>
      <c r="S1" s="369"/>
      <c r="T1" s="369"/>
      <c r="U1" s="369"/>
      <c r="V1" s="369"/>
      <c r="W1" s="373"/>
      <c r="X1" s="369"/>
      <c r="Y1" s="369"/>
      <c r="Z1" s="369"/>
      <c r="AA1" s="369"/>
      <c r="AB1" s="369"/>
      <c r="AC1" s="369"/>
      <c r="AD1" s="369"/>
      <c r="AE1" s="369"/>
      <c r="AF1" s="369"/>
      <c r="AG1" s="369"/>
      <c r="AH1" s="369"/>
      <c r="AI1" s="369"/>
      <c r="AJ1" s="369"/>
      <c r="AK1" s="369"/>
      <c r="AL1" s="373"/>
      <c r="AM1" s="369"/>
      <c r="AN1" s="369"/>
      <c r="AO1" s="369"/>
      <c r="AP1" s="369"/>
      <c r="AQ1" s="369"/>
      <c r="AR1" s="369"/>
      <c r="AS1" s="369"/>
      <c r="AT1" s="369"/>
      <c r="AU1" s="369"/>
      <c r="AV1" s="369"/>
    </row>
    <row r="2" spans="1:48" ht="9.3000000000000007" customHeight="1" x14ac:dyDescent="0.3">
      <c r="B2" s="99"/>
      <c r="C2" s="370"/>
      <c r="D2" s="45"/>
      <c r="E2" s="149"/>
      <c r="F2" s="149"/>
      <c r="G2" s="149"/>
      <c r="H2" s="149"/>
      <c r="I2" s="369"/>
      <c r="J2" s="369"/>
      <c r="K2" s="369"/>
      <c r="L2" s="369"/>
      <c r="M2" s="369"/>
      <c r="N2" s="369"/>
      <c r="O2" s="369"/>
      <c r="P2" s="369"/>
      <c r="Q2" s="369"/>
      <c r="R2" s="369"/>
      <c r="S2" s="369"/>
      <c r="T2" s="369"/>
      <c r="U2" s="373"/>
      <c r="V2" s="385"/>
      <c r="W2" s="385"/>
      <c r="X2" s="385"/>
      <c r="Y2" s="385"/>
      <c r="Z2" s="385"/>
      <c r="AA2" s="385"/>
      <c r="AB2" s="369"/>
      <c r="AC2" s="369"/>
      <c r="AD2" s="369"/>
      <c r="AE2" s="369"/>
      <c r="AF2" s="369"/>
      <c r="AG2" s="389"/>
      <c r="AH2" s="391"/>
      <c r="AI2" s="369"/>
      <c r="AJ2" s="369"/>
      <c r="AK2" s="369"/>
      <c r="AL2" s="389"/>
      <c r="AM2" s="391"/>
      <c r="AN2" s="369"/>
      <c r="AO2" s="369"/>
      <c r="AP2" s="369"/>
      <c r="AQ2" s="369"/>
      <c r="AR2" s="369"/>
      <c r="AS2" s="369"/>
      <c r="AT2" s="369"/>
      <c r="AU2" s="369"/>
      <c r="AV2" s="369"/>
    </row>
    <row r="3" spans="1:48" ht="15.6" x14ac:dyDescent="0.3">
      <c r="A3" s="469"/>
      <c r="B3" s="433" t="s">
        <v>18</v>
      </c>
      <c r="C3" s="434"/>
      <c r="D3" s="13" t="s">
        <v>15</v>
      </c>
      <c r="E3" s="13" t="s">
        <v>82</v>
      </c>
      <c r="F3" s="13" t="s">
        <v>84</v>
      </c>
      <c r="G3" s="13" t="s">
        <v>147</v>
      </c>
      <c r="H3" s="39" t="s">
        <v>147</v>
      </c>
      <c r="I3" s="13" t="s">
        <v>146</v>
      </c>
      <c r="J3" s="13" t="s">
        <v>145</v>
      </c>
      <c r="K3" s="13" t="s">
        <v>144</v>
      </c>
      <c r="L3" s="13" t="s">
        <v>141</v>
      </c>
      <c r="M3" s="39" t="s">
        <v>141</v>
      </c>
      <c r="N3" s="13" t="s">
        <v>148</v>
      </c>
      <c r="O3" s="13" t="s">
        <v>156</v>
      </c>
      <c r="P3" s="13" t="s">
        <v>158</v>
      </c>
      <c r="Q3" s="13" t="s">
        <v>171</v>
      </c>
      <c r="R3" s="39" t="s">
        <v>171</v>
      </c>
      <c r="S3" s="13" t="s">
        <v>187</v>
      </c>
      <c r="T3" s="13" t="s">
        <v>190</v>
      </c>
      <c r="U3" s="13" t="s">
        <v>203</v>
      </c>
      <c r="V3" s="15" t="s">
        <v>20</v>
      </c>
      <c r="W3" s="41" t="s">
        <v>20</v>
      </c>
      <c r="X3" s="15" t="s">
        <v>21</v>
      </c>
      <c r="Y3" s="15" t="s">
        <v>22</v>
      </c>
      <c r="Z3" s="15" t="s">
        <v>23</v>
      </c>
      <c r="AA3" s="15" t="s">
        <v>24</v>
      </c>
      <c r="AB3" s="41" t="s">
        <v>24</v>
      </c>
      <c r="AC3" s="15" t="s">
        <v>86</v>
      </c>
      <c r="AD3" s="15" t="s">
        <v>87</v>
      </c>
      <c r="AE3" s="15" t="s">
        <v>88</v>
      </c>
      <c r="AF3" s="15" t="s">
        <v>89</v>
      </c>
      <c r="AG3" s="41" t="s">
        <v>89</v>
      </c>
      <c r="AH3" s="15" t="s">
        <v>105</v>
      </c>
      <c r="AI3" s="15" t="s">
        <v>106</v>
      </c>
      <c r="AJ3" s="15" t="s">
        <v>107</v>
      </c>
      <c r="AK3" s="15" t="s">
        <v>108</v>
      </c>
      <c r="AL3" s="41" t="s">
        <v>108</v>
      </c>
      <c r="AM3" s="15" t="s">
        <v>160</v>
      </c>
      <c r="AN3" s="15" t="s">
        <v>161</v>
      </c>
      <c r="AO3" s="15" t="s">
        <v>162</v>
      </c>
      <c r="AP3" s="15" t="s">
        <v>163</v>
      </c>
      <c r="AQ3" s="41" t="s">
        <v>163</v>
      </c>
      <c r="AR3" s="15" t="s">
        <v>191</v>
      </c>
      <c r="AS3" s="15" t="s">
        <v>192</v>
      </c>
      <c r="AT3" s="15" t="s">
        <v>193</v>
      </c>
      <c r="AU3" s="15" t="s">
        <v>194</v>
      </c>
      <c r="AV3" s="41" t="s">
        <v>194</v>
      </c>
    </row>
    <row r="4" spans="1:48" ht="17.55" customHeight="1" x14ac:dyDescent="0.45">
      <c r="A4" s="469"/>
      <c r="B4" s="467" t="s">
        <v>3</v>
      </c>
      <c r="C4" s="468"/>
      <c r="D4" s="14" t="s">
        <v>19</v>
      </c>
      <c r="E4" s="14" t="s">
        <v>81</v>
      </c>
      <c r="F4" s="14" t="s">
        <v>85</v>
      </c>
      <c r="G4" s="14" t="s">
        <v>95</v>
      </c>
      <c r="H4" s="40" t="s">
        <v>96</v>
      </c>
      <c r="I4" s="14" t="s">
        <v>97</v>
      </c>
      <c r="J4" s="14" t="s">
        <v>98</v>
      </c>
      <c r="K4" s="14" t="s">
        <v>99</v>
      </c>
      <c r="L4" s="14" t="s">
        <v>142</v>
      </c>
      <c r="M4" s="40" t="s">
        <v>143</v>
      </c>
      <c r="N4" s="14" t="s">
        <v>149</v>
      </c>
      <c r="O4" s="14" t="s">
        <v>157</v>
      </c>
      <c r="P4" s="14" t="s">
        <v>159</v>
      </c>
      <c r="Q4" s="14" t="s">
        <v>172</v>
      </c>
      <c r="R4" s="40" t="s">
        <v>173</v>
      </c>
      <c r="S4" s="14" t="s">
        <v>188</v>
      </c>
      <c r="T4" s="14" t="s">
        <v>189</v>
      </c>
      <c r="U4" s="14" t="s">
        <v>204</v>
      </c>
      <c r="V4" s="12" t="s">
        <v>25</v>
      </c>
      <c r="W4" s="42" t="s">
        <v>26</v>
      </c>
      <c r="X4" s="12" t="s">
        <v>27</v>
      </c>
      <c r="Y4" s="12" t="s">
        <v>28</v>
      </c>
      <c r="Z4" s="12" t="s">
        <v>29</v>
      </c>
      <c r="AA4" s="12" t="s">
        <v>30</v>
      </c>
      <c r="AB4" s="42" t="s">
        <v>31</v>
      </c>
      <c r="AC4" s="12" t="s">
        <v>90</v>
      </c>
      <c r="AD4" s="12" t="s">
        <v>91</v>
      </c>
      <c r="AE4" s="12" t="s">
        <v>92</v>
      </c>
      <c r="AF4" s="12" t="s">
        <v>93</v>
      </c>
      <c r="AG4" s="42" t="s">
        <v>94</v>
      </c>
      <c r="AH4" s="12" t="s">
        <v>109</v>
      </c>
      <c r="AI4" s="12" t="s">
        <v>110</v>
      </c>
      <c r="AJ4" s="12" t="s">
        <v>111</v>
      </c>
      <c r="AK4" s="12" t="s">
        <v>112</v>
      </c>
      <c r="AL4" s="42" t="s">
        <v>113</v>
      </c>
      <c r="AM4" s="12" t="s">
        <v>164</v>
      </c>
      <c r="AN4" s="12" t="s">
        <v>165</v>
      </c>
      <c r="AO4" s="12" t="s">
        <v>166</v>
      </c>
      <c r="AP4" s="12" t="s">
        <v>167</v>
      </c>
      <c r="AQ4" s="42" t="s">
        <v>168</v>
      </c>
      <c r="AR4" s="12" t="s">
        <v>195</v>
      </c>
      <c r="AS4" s="12" t="s">
        <v>196</v>
      </c>
      <c r="AT4" s="12" t="s">
        <v>197</v>
      </c>
      <c r="AU4" s="12" t="s">
        <v>198</v>
      </c>
      <c r="AV4" s="42" t="s">
        <v>199</v>
      </c>
    </row>
    <row r="5" spans="1:48" outlineLevel="1" x14ac:dyDescent="0.3">
      <c r="B5" s="435" t="s">
        <v>101</v>
      </c>
      <c r="C5" s="436"/>
      <c r="D5" s="105">
        <v>5370.3</v>
      </c>
      <c r="E5" s="105">
        <v>5159</v>
      </c>
      <c r="F5" s="105">
        <v>5535</v>
      </c>
      <c r="G5" s="105">
        <f>H5-F5-E5-D5</f>
        <v>5480.1000000000013</v>
      </c>
      <c r="H5" s="170">
        <v>21544.400000000001</v>
      </c>
      <c r="I5" s="105">
        <v>5780.7</v>
      </c>
      <c r="J5" s="105">
        <v>4766</v>
      </c>
      <c r="K5" s="105">
        <v>3444.4</v>
      </c>
      <c r="L5" s="105">
        <v>5173.6000000000004</v>
      </c>
      <c r="M5" s="49">
        <f>SUM(I5:L5)</f>
        <v>19164.7</v>
      </c>
      <c r="N5" s="48">
        <v>5726.5</v>
      </c>
      <c r="O5" s="48">
        <v>5653.1</v>
      </c>
      <c r="P5" s="48">
        <v>6363.1</v>
      </c>
      <c r="Q5" s="105">
        <v>6864.3</v>
      </c>
      <c r="R5" s="49">
        <f>SUM(N5:Q5)</f>
        <v>24607</v>
      </c>
      <c r="S5" s="48">
        <v>6722.4</v>
      </c>
      <c r="T5" s="48">
        <v>6276.7</v>
      </c>
      <c r="U5" s="48">
        <v>6675.5</v>
      </c>
      <c r="V5" s="48">
        <f>+V45+V78</f>
        <v>6848.8037658907733</v>
      </c>
      <c r="W5" s="49">
        <f>SUM(S5:V5)</f>
        <v>26523.403765890773</v>
      </c>
      <c r="X5" s="48">
        <f>+X45+X78</f>
        <v>7233.1006367594455</v>
      </c>
      <c r="Y5" s="48">
        <f>+Y45+Y78</f>
        <v>6933.8434970510843</v>
      </c>
      <c r="Z5" s="48">
        <f>+Z45+Z78</f>
        <v>7613.2569896716677</v>
      </c>
      <c r="AA5" s="48">
        <f>+AA45+AA78</f>
        <v>7854.1651476007755</v>
      </c>
      <c r="AB5" s="49">
        <f>SUM(X5:AA5)</f>
        <v>29634.366271082974</v>
      </c>
      <c r="AC5" s="48">
        <f>+AC45+AC78</f>
        <v>8258.2321346163808</v>
      </c>
      <c r="AD5" s="48">
        <f>+AD45+AD78</f>
        <v>7696.0648806936842</v>
      </c>
      <c r="AE5" s="48">
        <f>+AE45+AE78</f>
        <v>8454.0817997823033</v>
      </c>
      <c r="AF5" s="48">
        <f>+AF45+AF78</f>
        <v>8748.7329130822491</v>
      </c>
      <c r="AG5" s="49">
        <f>SUM(AC5:AF5)</f>
        <v>33157.111728174619</v>
      </c>
      <c r="AH5" s="48">
        <f>+AH45+AH78</f>
        <v>9323.2833166500823</v>
      </c>
      <c r="AI5" s="48">
        <f>+AI45+AI78</f>
        <v>8686.1053700898501</v>
      </c>
      <c r="AJ5" s="48">
        <f>+AJ45+AJ78</f>
        <v>9546.2031527867075</v>
      </c>
      <c r="AK5" s="48">
        <f>+AK45+AK78</f>
        <v>9898.0596130273188</v>
      </c>
      <c r="AL5" s="49">
        <f>SUM(AH5:AK5)</f>
        <v>37453.651452553961</v>
      </c>
      <c r="AM5" s="48">
        <f>+AM45+AM78</f>
        <v>10267.754006064401</v>
      </c>
      <c r="AN5" s="48">
        <f>+AN45+AN78</f>
        <v>9527.9408625108008</v>
      </c>
      <c r="AO5" s="48">
        <f>+AO45+AO78</f>
        <v>10442.056762454346</v>
      </c>
      <c r="AP5" s="48">
        <f>+AP45+AP78</f>
        <v>10805.080761812693</v>
      </c>
      <c r="AQ5" s="49">
        <f>SUM(AM5:AP5)</f>
        <v>41042.83239284224</v>
      </c>
      <c r="AR5" s="48">
        <f>+AR45+AR78</f>
        <v>10973.678273588655</v>
      </c>
      <c r="AS5" s="48">
        <f>+AS45+AS78</f>
        <v>10177.45726484117</v>
      </c>
      <c r="AT5" s="48">
        <f>+AT45+AT78</f>
        <v>11150.043524584908</v>
      </c>
      <c r="AU5" s="48">
        <f>+AU45+AU78</f>
        <v>11538.460980176118</v>
      </c>
      <c r="AV5" s="49">
        <f>SUM(AR5:AU5)</f>
        <v>43839.640043190855</v>
      </c>
    </row>
    <row r="6" spans="1:48" outlineLevel="1" x14ac:dyDescent="0.3">
      <c r="B6" s="435" t="s">
        <v>102</v>
      </c>
      <c r="C6" s="436"/>
      <c r="D6" s="105">
        <v>737.1</v>
      </c>
      <c r="E6" s="105">
        <v>678.2</v>
      </c>
      <c r="F6" s="105">
        <v>725</v>
      </c>
      <c r="G6" s="105">
        <f t="shared" ref="G6:G16" si="0">H6-F6-E6-D6</f>
        <v>734.69999999999993</v>
      </c>
      <c r="H6" s="170">
        <v>2875</v>
      </c>
      <c r="I6" s="105">
        <v>792</v>
      </c>
      <c r="J6" s="105">
        <v>689.8</v>
      </c>
      <c r="K6" s="105">
        <v>300.5</v>
      </c>
      <c r="L6" s="48">
        <v>544.6</v>
      </c>
      <c r="M6" s="49">
        <f t="shared" ref="M6:M7" si="1">SUM(I6:L6)</f>
        <v>2326.9</v>
      </c>
      <c r="N6" s="48">
        <v>613.79999999999995</v>
      </c>
      <c r="O6" s="48">
        <v>595</v>
      </c>
      <c r="P6" s="48">
        <v>680.2</v>
      </c>
      <c r="Q6" s="105">
        <v>794.5</v>
      </c>
      <c r="R6" s="49">
        <f>SUM(N6:Q6)</f>
        <v>2683.5</v>
      </c>
      <c r="S6" s="48">
        <v>850.8</v>
      </c>
      <c r="T6" s="48">
        <v>849.5</v>
      </c>
      <c r="U6" s="48">
        <v>956.8</v>
      </c>
      <c r="V6" s="48">
        <f>+V54+V87</f>
        <v>908.81667302605592</v>
      </c>
      <c r="W6" s="49">
        <f t="shared" ref="W6:W7" si="2">SUM(S6:V6)</f>
        <v>3565.9166730260558</v>
      </c>
      <c r="X6" s="48">
        <f>+X54+X87</f>
        <v>1009.0523089032203</v>
      </c>
      <c r="Y6" s="48">
        <f>+Y54+Y87</f>
        <v>1015.2715428805324</v>
      </c>
      <c r="Z6" s="48">
        <f>+Z54+Z87</f>
        <v>1129.9430569310575</v>
      </c>
      <c r="AA6" s="48">
        <f>+AA54+AA87</f>
        <v>1083.0704640348126</v>
      </c>
      <c r="AB6" s="49">
        <f t="shared" ref="AB6:AB7" si="3">SUM(X6:AA6)</f>
        <v>4237.3373727496228</v>
      </c>
      <c r="AC6" s="48">
        <f>+AC54+AC87</f>
        <v>1133.567803980879</v>
      </c>
      <c r="AD6" s="48">
        <f>+AD54+AD87</f>
        <v>1141.272245310462</v>
      </c>
      <c r="AE6" s="48">
        <f>+AE54+AE87</f>
        <v>1272.0935703038826</v>
      </c>
      <c r="AF6" s="48">
        <f>+AF54+AF87</f>
        <v>1219.8665228892992</v>
      </c>
      <c r="AG6" s="49">
        <f t="shared" ref="AG6:AG7" si="4">SUM(AC6:AF6)</f>
        <v>4766.8001424845224</v>
      </c>
      <c r="AH6" s="48">
        <f>+AH54+AH87</f>
        <v>1289.1134168735923</v>
      </c>
      <c r="AI6" s="48">
        <f>+AI54+AI87</f>
        <v>1298.4341266375259</v>
      </c>
      <c r="AJ6" s="48">
        <f>+AJ54+AJ87</f>
        <v>1447.8567819710843</v>
      </c>
      <c r="AK6" s="48">
        <f>+AK54+AK87</f>
        <v>1388.7354401323705</v>
      </c>
      <c r="AL6" s="49">
        <f t="shared" ref="AL6:AL7" si="5">SUM(AH6:AK6)</f>
        <v>5424.1397656145728</v>
      </c>
      <c r="AM6" s="48">
        <f>+AM54+AM87</f>
        <v>1432.3611044281206</v>
      </c>
      <c r="AN6" s="48">
        <f>+AN54+AN87</f>
        <v>1425.914939477635</v>
      </c>
      <c r="AO6" s="48">
        <f>+AO54+AO87</f>
        <v>1572.4660740838863</v>
      </c>
      <c r="AP6" s="48">
        <f>+AP54+AP87</f>
        <v>1490.8664819456251</v>
      </c>
      <c r="AQ6" s="49">
        <f t="shared" ref="AQ6:AQ7" si="6">SUM(AM6:AP6)</f>
        <v>5921.6085999352672</v>
      </c>
      <c r="AR6" s="48">
        <f>+AR54+AR87</f>
        <v>1499.3396787435358</v>
      </c>
      <c r="AS6" s="48">
        <f>+AS54+AS87</f>
        <v>1492.5354866171083</v>
      </c>
      <c r="AT6" s="48">
        <f>+AT54+AT87</f>
        <v>1646.143250249474</v>
      </c>
      <c r="AU6" s="48">
        <f>+AU54+AU87</f>
        <v>1560.6531804063061</v>
      </c>
      <c r="AV6" s="49">
        <f t="shared" ref="AV6:AV7" si="7">SUM(AR6:AU6)</f>
        <v>6198.6715960164247</v>
      </c>
    </row>
    <row r="7" spans="1:48" ht="16.2" outlineLevel="1" x14ac:dyDescent="0.45">
      <c r="B7" s="435" t="s">
        <v>103</v>
      </c>
      <c r="C7" s="436"/>
      <c r="D7" s="104">
        <v>525.29999999999995</v>
      </c>
      <c r="E7" s="104">
        <v>468.7</v>
      </c>
      <c r="F7" s="104">
        <v>563</v>
      </c>
      <c r="G7" s="104">
        <f t="shared" si="0"/>
        <v>532.19999999999982</v>
      </c>
      <c r="H7" s="173">
        <v>2089.1999999999998</v>
      </c>
      <c r="I7" s="104">
        <v>524.4</v>
      </c>
      <c r="J7" s="104">
        <v>539.9</v>
      </c>
      <c r="K7" s="104">
        <v>477.2</v>
      </c>
      <c r="L7" s="52">
        <v>484.9</v>
      </c>
      <c r="M7" s="53">
        <f t="shared" si="1"/>
        <v>2026.4</v>
      </c>
      <c r="N7" s="52">
        <v>409.1</v>
      </c>
      <c r="O7" s="52">
        <v>419.9</v>
      </c>
      <c r="P7" s="52">
        <v>453.2</v>
      </c>
      <c r="Q7" s="104">
        <v>487.9</v>
      </c>
      <c r="R7" s="53">
        <f>SUM(N7:Q7)</f>
        <v>1770.1</v>
      </c>
      <c r="S7" s="52">
        <v>477.2</v>
      </c>
      <c r="T7" s="52">
        <v>509.4</v>
      </c>
      <c r="U7" s="52">
        <v>517.79999999999995</v>
      </c>
      <c r="V7" s="52">
        <f>+V55+V88+V108+V123</f>
        <v>530.10800000000006</v>
      </c>
      <c r="W7" s="173">
        <f t="shared" si="2"/>
        <v>2034.5079999999998</v>
      </c>
      <c r="X7" s="52">
        <f>+X55+X88+X108+X123</f>
        <v>514.53500000000008</v>
      </c>
      <c r="Y7" s="52">
        <f>+Y55+Y88+Y108+Y123</f>
        <v>527.98200000000008</v>
      </c>
      <c r="Z7" s="52">
        <f>+Z55+Z88+Z108+Z123</f>
        <v>541.15800000000002</v>
      </c>
      <c r="AA7" s="52">
        <f>+AA55+AA88+AA108+AA123</f>
        <v>553.38710000000015</v>
      </c>
      <c r="AB7" s="53">
        <f t="shared" si="3"/>
        <v>2137.0621000000001</v>
      </c>
      <c r="AC7" s="52">
        <f>+AC55+AC88+AC108+AC123</f>
        <v>538.26440000000014</v>
      </c>
      <c r="AD7" s="52">
        <f>+AD55+AD88+AD108+AD123</f>
        <v>552.56346000000008</v>
      </c>
      <c r="AE7" s="52">
        <f>+AE55+AE88+AE108+AE123</f>
        <v>566.17452000000003</v>
      </c>
      <c r="AF7" s="52">
        <f>+AF55+AF88+AF108+AF123</f>
        <v>579.71528800000021</v>
      </c>
      <c r="AG7" s="53">
        <f t="shared" si="4"/>
        <v>2236.7176680000007</v>
      </c>
      <c r="AH7" s="52">
        <f>+AH55+AH88+AH108+AH123</f>
        <v>567.58199600000012</v>
      </c>
      <c r="AI7" s="52">
        <f>+AI55+AI88+AI108+AI123</f>
        <v>580.59704340000019</v>
      </c>
      <c r="AJ7" s="52">
        <f>+AJ55+AJ88+AJ108+AJ123</f>
        <v>593.31856080000011</v>
      </c>
      <c r="AK7" s="52">
        <f>+AK55+AK88+AK108+AK123</f>
        <v>608.49081032000015</v>
      </c>
      <c r="AL7" s="53">
        <f t="shared" si="5"/>
        <v>2349.9884105200008</v>
      </c>
      <c r="AM7" s="52">
        <f>+AM55+AM88+AM108+AM123</f>
        <v>594.36976184000025</v>
      </c>
      <c r="AN7" s="52">
        <f>+AN55+AN88+AN108+AN123</f>
        <v>607.20447663600021</v>
      </c>
      <c r="AO7" s="52">
        <f>+AO55+AO88+AO108+AO123</f>
        <v>620.07958123200001</v>
      </c>
      <c r="AP7" s="52">
        <f>+AP55+AP88+AP108+AP123</f>
        <v>636.60205053280015</v>
      </c>
      <c r="AQ7" s="53">
        <f t="shared" si="6"/>
        <v>2458.2558702408005</v>
      </c>
      <c r="AR7" s="52">
        <f>+AR55+AR88+AR108+AR123</f>
        <v>620.6669569136003</v>
      </c>
      <c r="AS7" s="52">
        <f>+AS55+AS88+AS108+AS123</f>
        <v>633.83488747644026</v>
      </c>
      <c r="AT7" s="52">
        <f>+AT55+AT88+AT108+AT123</f>
        <v>647.37274528128012</v>
      </c>
      <c r="AU7" s="52">
        <f>+AU55+AU88+AU108+AU123</f>
        <v>665.17309938411222</v>
      </c>
      <c r="AV7" s="53">
        <f t="shared" si="7"/>
        <v>2567.0476890554328</v>
      </c>
    </row>
    <row r="8" spans="1:48" s="8" customFormat="1" x14ac:dyDescent="0.3">
      <c r="B8" s="445" t="s">
        <v>104</v>
      </c>
      <c r="C8" s="446"/>
      <c r="D8" s="103">
        <f t="shared" ref="D8:AB8" si="8">SUM(D5:D7)</f>
        <v>6632.7000000000007</v>
      </c>
      <c r="E8" s="103">
        <f t="shared" si="8"/>
        <v>6305.9</v>
      </c>
      <c r="F8" s="103">
        <f t="shared" si="8"/>
        <v>6823</v>
      </c>
      <c r="G8" s="103">
        <f t="shared" si="8"/>
        <v>6747.0000000000009</v>
      </c>
      <c r="H8" s="171">
        <f t="shared" si="8"/>
        <v>26508.600000000002</v>
      </c>
      <c r="I8" s="103">
        <f>SUM(I5:I7)</f>
        <v>7097.0999999999995</v>
      </c>
      <c r="J8" s="103">
        <f>SUM(J5:J7)</f>
        <v>5995.7</v>
      </c>
      <c r="K8" s="103">
        <f>SUM(K5:K7)</f>
        <v>4222.1000000000004</v>
      </c>
      <c r="L8" s="103">
        <f>SUM(L5:L7)</f>
        <v>6203.1</v>
      </c>
      <c r="M8" s="171">
        <f t="shared" si="8"/>
        <v>23518.000000000004</v>
      </c>
      <c r="N8" s="103">
        <f t="shared" si="8"/>
        <v>6749.4000000000005</v>
      </c>
      <c r="O8" s="103">
        <f t="shared" si="8"/>
        <v>6668</v>
      </c>
      <c r="P8" s="103">
        <f t="shared" si="8"/>
        <v>7496.5</v>
      </c>
      <c r="Q8" s="103">
        <f>SUM(Q5:Q7)</f>
        <v>8146.7</v>
      </c>
      <c r="R8" s="171">
        <f t="shared" si="8"/>
        <v>29060.6</v>
      </c>
      <c r="S8" s="103">
        <f t="shared" si="8"/>
        <v>8050.4</v>
      </c>
      <c r="T8" s="103">
        <f t="shared" si="8"/>
        <v>7635.5999999999995</v>
      </c>
      <c r="U8" s="103">
        <f t="shared" si="8"/>
        <v>8150.1</v>
      </c>
      <c r="V8" s="103">
        <f t="shared" si="8"/>
        <v>8287.728438916829</v>
      </c>
      <c r="W8" s="171">
        <f t="shared" si="8"/>
        <v>32123.828438916826</v>
      </c>
      <c r="X8" s="50">
        <f t="shared" si="8"/>
        <v>8756.6879456626648</v>
      </c>
      <c r="Y8" s="50">
        <f t="shared" si="8"/>
        <v>8477.0970399316175</v>
      </c>
      <c r="Z8" s="50">
        <f t="shared" si="8"/>
        <v>9284.3580466027252</v>
      </c>
      <c r="AA8" s="50">
        <f t="shared" si="8"/>
        <v>9490.6227116355876</v>
      </c>
      <c r="AB8" s="171">
        <f t="shared" si="8"/>
        <v>36008.765743832599</v>
      </c>
      <c r="AC8" s="50">
        <f t="shared" ref="AC8:AV8" si="9">SUM(AC5:AC7)</f>
        <v>9930.0643385972598</v>
      </c>
      <c r="AD8" s="50">
        <f t="shared" si="9"/>
        <v>9389.9005860041452</v>
      </c>
      <c r="AE8" s="50">
        <f t="shared" si="9"/>
        <v>10292.349890086187</v>
      </c>
      <c r="AF8" s="50">
        <f t="shared" si="9"/>
        <v>10548.314723971547</v>
      </c>
      <c r="AG8" s="51">
        <f t="shared" si="9"/>
        <v>40160.629538659137</v>
      </c>
      <c r="AH8" s="50">
        <f t="shared" si="9"/>
        <v>11179.978729523675</v>
      </c>
      <c r="AI8" s="50">
        <f t="shared" si="9"/>
        <v>10565.136540127376</v>
      </c>
      <c r="AJ8" s="50">
        <f t="shared" si="9"/>
        <v>11587.378495557792</v>
      </c>
      <c r="AK8" s="50">
        <f t="shared" si="9"/>
        <v>11895.285863479688</v>
      </c>
      <c r="AL8" s="51">
        <f t="shared" si="9"/>
        <v>45227.779628688535</v>
      </c>
      <c r="AM8" s="50">
        <f t="shared" si="9"/>
        <v>12294.484872332521</v>
      </c>
      <c r="AN8" s="50">
        <f t="shared" si="9"/>
        <v>11561.060278624436</v>
      </c>
      <c r="AO8" s="50">
        <f t="shared" si="9"/>
        <v>12634.602417770231</v>
      </c>
      <c r="AP8" s="50">
        <f t="shared" si="9"/>
        <v>12932.549294291117</v>
      </c>
      <c r="AQ8" s="51">
        <f t="shared" si="9"/>
        <v>49422.696863018304</v>
      </c>
      <c r="AR8" s="50">
        <f t="shared" si="9"/>
        <v>13093.684909245792</v>
      </c>
      <c r="AS8" s="50">
        <f t="shared" si="9"/>
        <v>12303.827638934717</v>
      </c>
      <c r="AT8" s="50">
        <f t="shared" si="9"/>
        <v>13443.559520115661</v>
      </c>
      <c r="AU8" s="50">
        <f t="shared" si="9"/>
        <v>13764.287259966535</v>
      </c>
      <c r="AV8" s="51">
        <f t="shared" si="9"/>
        <v>52605.359328262712</v>
      </c>
    </row>
    <row r="9" spans="1:48" outlineLevel="1" x14ac:dyDescent="0.3">
      <c r="B9" s="459" t="s">
        <v>100</v>
      </c>
      <c r="C9" s="460"/>
      <c r="D9" s="105">
        <v>2175.8000000000002</v>
      </c>
      <c r="E9" s="105">
        <v>2012</v>
      </c>
      <c r="F9" s="105">
        <v>2199.6</v>
      </c>
      <c r="G9" s="105">
        <f t="shared" si="0"/>
        <v>2139.4999999999991</v>
      </c>
      <c r="H9" s="170">
        <v>8526.9</v>
      </c>
      <c r="I9" s="105">
        <v>2236.4</v>
      </c>
      <c r="J9" s="105">
        <v>1997.7</v>
      </c>
      <c r="K9" s="105">
        <v>1484</v>
      </c>
      <c r="L9" s="105">
        <v>1976.8</v>
      </c>
      <c r="M9" s="170">
        <f>SUM(I9:L9)</f>
        <v>7694.9000000000005</v>
      </c>
      <c r="N9" s="105">
        <v>2049.1</v>
      </c>
      <c r="O9" s="105">
        <v>1992.4</v>
      </c>
      <c r="P9" s="105">
        <v>2206</v>
      </c>
      <c r="Q9" s="105">
        <v>2491.1</v>
      </c>
      <c r="R9" s="170">
        <f>SUM(N9:Q9)</f>
        <v>8738.6</v>
      </c>
      <c r="S9" s="105">
        <v>2526.9</v>
      </c>
      <c r="T9" s="105">
        <v>2465.8000000000002</v>
      </c>
      <c r="U9" s="105">
        <v>2613.6</v>
      </c>
      <c r="V9" s="105">
        <f>+V60+V93+V110+V125</f>
        <v>2680.4740760427126</v>
      </c>
      <c r="W9" s="170">
        <f>SUM(S9:V9)</f>
        <v>10286.774076042713</v>
      </c>
      <c r="X9" s="105">
        <f>+X60+X93+X110+X125</f>
        <v>2817.7701319912303</v>
      </c>
      <c r="Y9" s="105">
        <f>+Y60+Y93+Y110+Y125</f>
        <v>2722.3815486393605</v>
      </c>
      <c r="Z9" s="105">
        <f>+Z60+Z93+Z110+Z125</f>
        <v>2978.7021043720492</v>
      </c>
      <c r="AA9" s="105">
        <f>+AA60+AA93+AA110+AA125</f>
        <v>2976.4266345361202</v>
      </c>
      <c r="AB9" s="49">
        <f>SUM(X9:AA9)</f>
        <v>11495.280419538762</v>
      </c>
      <c r="AC9" s="105">
        <f>+AC60+AC93+AC110+AC125</f>
        <v>3070.353360217086</v>
      </c>
      <c r="AD9" s="105">
        <f>+AD60+AD93+AD110+AD125</f>
        <v>2949.1042739084514</v>
      </c>
      <c r="AE9" s="105">
        <f>+AE60+AE93+AE110+AE125</f>
        <v>3268.5574670485626</v>
      </c>
      <c r="AF9" s="105">
        <f>+AF60+AF93+AF110+AF125</f>
        <v>3365.8241254946661</v>
      </c>
      <c r="AG9" s="49">
        <f>SUM(AC9:AF9)</f>
        <v>12653.839226668766</v>
      </c>
      <c r="AH9" s="105">
        <f>+AH60+AH93+AH110+AH125</f>
        <v>3423.0278392055998</v>
      </c>
      <c r="AI9" s="105">
        <f>+AI60+AI93+AI110+AI125</f>
        <v>3281.9295546232847</v>
      </c>
      <c r="AJ9" s="105">
        <f>+AJ60+AJ93+AJ110+AJ125</f>
        <v>3615.2881311658784</v>
      </c>
      <c r="AK9" s="105">
        <f>+AK60+AK93+AK110+AK125</f>
        <v>3759.5180525441742</v>
      </c>
      <c r="AL9" s="49">
        <f>SUM(AH9:AK9)</f>
        <v>14079.763577538937</v>
      </c>
      <c r="AM9" s="105">
        <f>+AM60+AM93+AM110+AM125</f>
        <v>3758.2381596153614</v>
      </c>
      <c r="AN9" s="105">
        <f>+AN60+AN93+AN110+AN125</f>
        <v>3580.9205983570732</v>
      </c>
      <c r="AO9" s="105">
        <f>+AO60+AO93+AO110+AO125</f>
        <v>3933.5006859776017</v>
      </c>
      <c r="AP9" s="105">
        <f>+AP60+AP93+AP110+AP125</f>
        <v>4078.6050572738927</v>
      </c>
      <c r="AQ9" s="49">
        <f>SUM(AM9:AP9)</f>
        <v>15351.26450122393</v>
      </c>
      <c r="AR9" s="105">
        <f>+AR60+AR93+AR110+AR125</f>
        <v>3997.1094584177317</v>
      </c>
      <c r="AS9" s="105">
        <f>+AS60+AS93+AS110+AS125</f>
        <v>3804.735076976443</v>
      </c>
      <c r="AT9" s="105">
        <f>+AT60+AT93+AT110+AT125</f>
        <v>4179.491804471837</v>
      </c>
      <c r="AU9" s="105">
        <f>+AU60+AU93+AU110+AU125</f>
        <v>4335.3536040854633</v>
      </c>
      <c r="AV9" s="49">
        <f>SUM(AR9:AU9)</f>
        <v>16316.689943951475</v>
      </c>
    </row>
    <row r="10" spans="1:48" outlineLevel="1" x14ac:dyDescent="0.3">
      <c r="B10" s="38" t="s">
        <v>32</v>
      </c>
      <c r="C10" s="18"/>
      <c r="D10" s="105">
        <v>2586.8000000000002</v>
      </c>
      <c r="E10" s="105">
        <v>2554.1</v>
      </c>
      <c r="F10" s="105">
        <v>2643.2</v>
      </c>
      <c r="G10" s="105">
        <f t="shared" si="0"/>
        <v>2709.5000000000009</v>
      </c>
      <c r="H10" s="170">
        <v>10493.6</v>
      </c>
      <c r="I10" s="105">
        <v>2821.5</v>
      </c>
      <c r="J10" s="105">
        <v>2721.4</v>
      </c>
      <c r="K10" s="105">
        <v>2537.8000000000002</v>
      </c>
      <c r="L10" s="48">
        <v>2683.4</v>
      </c>
      <c r="M10" s="49">
        <f t="shared" ref="M10:M13" si="10">SUM(I10:L10)</f>
        <v>10764.1</v>
      </c>
      <c r="N10" s="48">
        <v>2867.3</v>
      </c>
      <c r="O10" s="105">
        <v>2823.3</v>
      </c>
      <c r="P10" s="105">
        <v>2966.9</v>
      </c>
      <c r="Q10" s="105">
        <v>3273.4</v>
      </c>
      <c r="R10" s="170">
        <f t="shared" ref="R10:R13" si="11">SUM(N10:Q10)</f>
        <v>11930.9</v>
      </c>
      <c r="S10" s="48">
        <v>3400</v>
      </c>
      <c r="T10" s="48">
        <v>3314.7</v>
      </c>
      <c r="U10" s="48">
        <v>3302.5</v>
      </c>
      <c r="V10" s="48">
        <f>+V62+V95</f>
        <v>3414.8150402467754</v>
      </c>
      <c r="W10" s="170">
        <f t="shared" ref="W10:W13" si="12">SUM(S10:V10)</f>
        <v>13432.015040246777</v>
      </c>
      <c r="X10" s="48">
        <f>+X62+X95</f>
        <v>3727.6323028484908</v>
      </c>
      <c r="Y10" s="48">
        <f>+Y62+Y95</f>
        <v>3662.6645409334938</v>
      </c>
      <c r="Z10" s="48">
        <f>+Z62+Z95</f>
        <v>3833.5741982591962</v>
      </c>
      <c r="AA10" s="48">
        <f>+AA62+AA95</f>
        <v>3901.9552899480832</v>
      </c>
      <c r="AB10" s="49">
        <f t="shared" ref="AB10:AB13" si="13">SUM(X10:AA10)</f>
        <v>15125.826331989265</v>
      </c>
      <c r="AC10" s="48">
        <f>+AC62+AC95</f>
        <v>4173.9502678469371</v>
      </c>
      <c r="AD10" s="48">
        <f>+AD62+AD95</f>
        <v>4016.9431293724729</v>
      </c>
      <c r="AE10" s="48">
        <f>+AE62+AE95</f>
        <v>4248.4658177518686</v>
      </c>
      <c r="AF10" s="48">
        <f>+AF62+AF95</f>
        <v>4402.4544326674977</v>
      </c>
      <c r="AG10" s="49">
        <f t="shared" ref="AG10:AG14" si="14">SUM(AC10:AF10)</f>
        <v>16841.813647638777</v>
      </c>
      <c r="AH10" s="48">
        <f>+AH62+AH95</f>
        <v>4691.1403487074022</v>
      </c>
      <c r="AI10" s="48">
        <f>+AI62+AI95</f>
        <v>4512.9856570484517</v>
      </c>
      <c r="AJ10" s="48">
        <f>+AJ62+AJ95</f>
        <v>4742.7415773094281</v>
      </c>
      <c r="AK10" s="48">
        <f>+AK62+AK95</f>
        <v>4958.7293171440533</v>
      </c>
      <c r="AL10" s="49">
        <f t="shared" ref="AL10:AL14" si="15">SUM(AH10:AK10)</f>
        <v>18905.596900209337</v>
      </c>
      <c r="AM10" s="48">
        <f>+AM62+AM95</f>
        <v>5162.747290762366</v>
      </c>
      <c r="AN10" s="48">
        <f>+AN62+AN95</f>
        <v>4946.4713945847689</v>
      </c>
      <c r="AO10" s="48">
        <f>+AO62+AO95</f>
        <v>5189.5856558324513</v>
      </c>
      <c r="AP10" s="48">
        <f>+AP62+AP95</f>
        <v>5411.9773296461981</v>
      </c>
      <c r="AQ10" s="49">
        <f t="shared" ref="AQ10:AQ14" si="16">SUM(AM10:AP10)</f>
        <v>20710.781670825785</v>
      </c>
      <c r="AR10" s="48">
        <f>+AR62+AR95</f>
        <v>5517.0020867712246</v>
      </c>
      <c r="AS10" s="48">
        <f>+AS62+AS95</f>
        <v>5282.7044101516867</v>
      </c>
      <c r="AT10" s="48">
        <f>+AT62+AT95</f>
        <v>5542.0685467690146</v>
      </c>
      <c r="AU10" s="48">
        <f>+AU62+AU95</f>
        <v>5778.6000688955755</v>
      </c>
      <c r="AV10" s="49">
        <f t="shared" ref="AV10:AV14" si="17">SUM(AR10:AU10)</f>
        <v>22120.375112587499</v>
      </c>
    </row>
    <row r="11" spans="1:48" outlineLevel="1" x14ac:dyDescent="0.3">
      <c r="B11" s="38" t="s">
        <v>33</v>
      </c>
      <c r="C11" s="18"/>
      <c r="D11" s="105">
        <v>97.6</v>
      </c>
      <c r="E11" s="105">
        <v>87.1</v>
      </c>
      <c r="F11" s="105">
        <v>94.4</v>
      </c>
      <c r="G11" s="105">
        <f t="shared" si="0"/>
        <v>91.900000000000034</v>
      </c>
      <c r="H11" s="170">
        <v>371</v>
      </c>
      <c r="I11" s="105">
        <v>101.8</v>
      </c>
      <c r="J11" s="105">
        <v>95</v>
      </c>
      <c r="K11" s="105">
        <v>133.6</v>
      </c>
      <c r="L11" s="48">
        <v>99.9</v>
      </c>
      <c r="M11" s="49">
        <f t="shared" si="10"/>
        <v>430.29999999999995</v>
      </c>
      <c r="N11" s="48">
        <v>91.8</v>
      </c>
      <c r="O11" s="105">
        <v>87.7</v>
      </c>
      <c r="P11" s="105">
        <v>71.400000000000006</v>
      </c>
      <c r="Q11" s="105">
        <v>108.6</v>
      </c>
      <c r="R11" s="170">
        <f t="shared" si="11"/>
        <v>359.5</v>
      </c>
      <c r="S11" s="48">
        <v>101.7</v>
      </c>
      <c r="T11" s="48">
        <v>101.7</v>
      </c>
      <c r="U11" s="48">
        <v>135.1</v>
      </c>
      <c r="V11" s="48">
        <f>+V64+V97+V112+V126</f>
        <v>135.32630991142233</v>
      </c>
      <c r="W11" s="170">
        <f t="shared" si="12"/>
        <v>473.8263099114223</v>
      </c>
      <c r="X11" s="48">
        <f>+X64+X97+X112+X126</f>
        <v>120.37711481025445</v>
      </c>
      <c r="Y11" s="48">
        <f>+Y64+Y97+Y112+Y126</f>
        <v>113.10878777707843</v>
      </c>
      <c r="Z11" s="48">
        <f>+Z64+Z97+Z112+Z126</f>
        <v>147.95740756881733</v>
      </c>
      <c r="AA11" s="48">
        <f>+AA64+AA97+AA112+AA126</f>
        <v>139.79520764416665</v>
      </c>
      <c r="AB11" s="49">
        <f t="shared" si="13"/>
        <v>521.23851780031691</v>
      </c>
      <c r="AC11" s="48">
        <f>+AC64+AC97+AC112+AC126</f>
        <v>128.38493161939826</v>
      </c>
      <c r="AD11" s="48">
        <f>+AD64+AD97+AD112+AD126</f>
        <v>125.91608793081305</v>
      </c>
      <c r="AE11" s="48">
        <f>+AE64+AE97+AE112+AE126</f>
        <v>153.59153715588826</v>
      </c>
      <c r="AF11" s="48">
        <f>+AF64+AF97+AF112+AF126</f>
        <v>144.49992623040922</v>
      </c>
      <c r="AG11" s="49">
        <f t="shared" si="14"/>
        <v>552.39248293650883</v>
      </c>
      <c r="AH11" s="48">
        <f>+AH64+AH97+AH112+AH126</f>
        <v>137.14146060126555</v>
      </c>
      <c r="AI11" s="48">
        <f>+AI64+AI97+AI112+AI126</f>
        <v>136.47162668759492</v>
      </c>
      <c r="AJ11" s="48">
        <f>+AJ64+AJ97+AJ112+AJ126</f>
        <v>155.99889767940576</v>
      </c>
      <c r="AK11" s="48">
        <f>+AK64+AK97+AK112+AK126</f>
        <v>153.59898940859159</v>
      </c>
      <c r="AL11" s="49">
        <f t="shared" si="15"/>
        <v>583.21097437685785</v>
      </c>
      <c r="AM11" s="48">
        <f>+AM64+AM97+AM112+AM126</f>
        <v>151.22947577659934</v>
      </c>
      <c r="AN11" s="48">
        <f>+AN64+AN97+AN112+AN126</f>
        <v>149.57174663500749</v>
      </c>
      <c r="AO11" s="48">
        <f>+AO64+AO97+AO112+AO126</f>
        <v>170.0908363692601</v>
      </c>
      <c r="AP11" s="48">
        <f>+AP64+AP97+AP112+AP126</f>
        <v>166.50868919432034</v>
      </c>
      <c r="AQ11" s="49">
        <f t="shared" si="16"/>
        <v>637.4007479751873</v>
      </c>
      <c r="AR11" s="48">
        <f>+AR64+AR97+AR112+AR126</f>
        <v>160.69902207369114</v>
      </c>
      <c r="AS11" s="48">
        <f>+AS64+AS97+AS112+AS126</f>
        <v>158.8422204767291</v>
      </c>
      <c r="AT11" s="48">
        <f>+AT64+AT97+AT112+AT126</f>
        <v>180.64919391673973</v>
      </c>
      <c r="AU11" s="48">
        <f>+AU64+AU97+AU112+AU126</f>
        <v>176.8347947862861</v>
      </c>
      <c r="AV11" s="49">
        <f t="shared" si="17"/>
        <v>677.02523125344612</v>
      </c>
    </row>
    <row r="12" spans="1:48" outlineLevel="1" x14ac:dyDescent="0.3">
      <c r="B12" s="38" t="s">
        <v>34</v>
      </c>
      <c r="C12" s="18"/>
      <c r="D12" s="105">
        <v>333.4</v>
      </c>
      <c r="E12" s="105">
        <v>356.2</v>
      </c>
      <c r="F12" s="105">
        <v>343.1</v>
      </c>
      <c r="G12" s="105">
        <f t="shared" si="0"/>
        <v>344.5999999999998</v>
      </c>
      <c r="H12" s="170">
        <v>1377.3</v>
      </c>
      <c r="I12" s="105">
        <v>351</v>
      </c>
      <c r="J12" s="105">
        <v>356.3</v>
      </c>
      <c r="K12" s="105">
        <v>361</v>
      </c>
      <c r="L12" s="48">
        <v>362.9</v>
      </c>
      <c r="M12" s="49">
        <f t="shared" ref="M12" si="18">SUM(I12:L12)</f>
        <v>1431.1999999999998</v>
      </c>
      <c r="N12" s="48">
        <v>366.1</v>
      </c>
      <c r="O12" s="105">
        <v>366.7</v>
      </c>
      <c r="P12" s="105">
        <v>354.3</v>
      </c>
      <c r="Q12" s="105">
        <v>354.7</v>
      </c>
      <c r="R12" s="170">
        <f t="shared" ref="R12" si="19">SUM(N12:Q12)</f>
        <v>1441.8</v>
      </c>
      <c r="S12" s="48">
        <v>366</v>
      </c>
      <c r="T12" s="48">
        <v>367.7</v>
      </c>
      <c r="U12" s="48">
        <v>356.8</v>
      </c>
      <c r="V12" s="48">
        <f>+V66+V99+V114+V127</f>
        <v>369.17212312193374</v>
      </c>
      <c r="W12" s="170">
        <f t="shared" ref="W12" si="20">SUM(S12:V12)</f>
        <v>1459.6721231219337</v>
      </c>
      <c r="X12" s="48">
        <f t="shared" ref="X12:AA13" si="21">+X66+X99+X114+X127</f>
        <v>375.30210196547938</v>
      </c>
      <c r="Y12" s="48">
        <f t="shared" si="21"/>
        <v>391.38121951483862</v>
      </c>
      <c r="Z12" s="48">
        <f t="shared" si="21"/>
        <v>404.79514693968162</v>
      </c>
      <c r="AA12" s="48">
        <f t="shared" si="21"/>
        <v>420.97679276875391</v>
      </c>
      <c r="AB12" s="49">
        <f t="shared" ref="AB12" si="22">SUM(X12:AA12)</f>
        <v>1592.4552611887536</v>
      </c>
      <c r="AC12" s="48">
        <f t="shared" ref="AC12:AF13" si="23">+AC66+AC99+AC114+AC127</f>
        <v>437.34505276786336</v>
      </c>
      <c r="AD12" s="48">
        <f t="shared" si="23"/>
        <v>450.04339515682318</v>
      </c>
      <c r="AE12" s="48">
        <f t="shared" si="23"/>
        <v>459.75933961511623</v>
      </c>
      <c r="AF12" s="48">
        <f t="shared" si="23"/>
        <v>472.48613708534106</v>
      </c>
      <c r="AG12" s="49">
        <f t="shared" si="14"/>
        <v>1819.6339246251437</v>
      </c>
      <c r="AH12" s="48">
        <f t="shared" ref="AH12:AK13" si="24">+AH66+AH99+AH114+AH127</f>
        <v>485.48880421227238</v>
      </c>
      <c r="AI12" s="48">
        <f t="shared" si="24"/>
        <v>495.22220736654526</v>
      </c>
      <c r="AJ12" s="48">
        <f t="shared" si="24"/>
        <v>502.19923866470123</v>
      </c>
      <c r="AK12" s="48">
        <f t="shared" si="24"/>
        <v>512.34896660573543</v>
      </c>
      <c r="AL12" s="49">
        <f t="shared" si="15"/>
        <v>1995.2592168492542</v>
      </c>
      <c r="AM12" s="48">
        <f t="shared" ref="AM12:AP13" si="25">+AM66+AM99+AM114+AM127</f>
        <v>522.96588132980082</v>
      </c>
      <c r="AN12" s="48">
        <f t="shared" si="25"/>
        <v>534.33242935650935</v>
      </c>
      <c r="AO12" s="48">
        <f t="shared" si="25"/>
        <v>542.43600012442164</v>
      </c>
      <c r="AP12" s="48">
        <f t="shared" si="25"/>
        <v>553.81537075458743</v>
      </c>
      <c r="AQ12" s="49">
        <f t="shared" si="16"/>
        <v>2153.5496815653196</v>
      </c>
      <c r="AR12" s="48">
        <f t="shared" ref="AR12:AU13" si="26">+AR66+AR99+AR114+AR127</f>
        <v>565.54874792327382</v>
      </c>
      <c r="AS12" s="48">
        <f t="shared" si="26"/>
        <v>577.13375556195422</v>
      </c>
      <c r="AT12" s="48">
        <f t="shared" si="26"/>
        <v>585.24494866049974</v>
      </c>
      <c r="AU12" s="48">
        <f t="shared" si="26"/>
        <v>596.86178989901134</v>
      </c>
      <c r="AV12" s="49">
        <f t="shared" si="17"/>
        <v>2324.7892420447392</v>
      </c>
    </row>
    <row r="13" spans="1:48" ht="17.25" customHeight="1" outlineLevel="1" x14ac:dyDescent="0.3">
      <c r="B13" s="38" t="s">
        <v>83</v>
      </c>
      <c r="C13" s="18"/>
      <c r="D13" s="105">
        <v>448</v>
      </c>
      <c r="E13" s="105">
        <v>458.1</v>
      </c>
      <c r="F13" s="105">
        <v>459.7</v>
      </c>
      <c r="G13" s="105">
        <f t="shared" si="0"/>
        <v>458.29999999999984</v>
      </c>
      <c r="H13" s="170">
        <v>1824.1</v>
      </c>
      <c r="I13" s="105">
        <v>434.2</v>
      </c>
      <c r="J13" s="105">
        <v>406.5</v>
      </c>
      <c r="K13" s="105">
        <v>399.9</v>
      </c>
      <c r="L13" s="48">
        <v>439</v>
      </c>
      <c r="M13" s="170">
        <f t="shared" si="10"/>
        <v>1679.6</v>
      </c>
      <c r="N13" s="48">
        <v>472.1</v>
      </c>
      <c r="O13" s="105">
        <v>464.4</v>
      </c>
      <c r="P13" s="105">
        <v>494.9</v>
      </c>
      <c r="Q13" s="105">
        <v>501.2</v>
      </c>
      <c r="R13" s="170">
        <f t="shared" si="11"/>
        <v>1932.6000000000001</v>
      </c>
      <c r="S13" s="48">
        <v>525.79999999999995</v>
      </c>
      <c r="T13" s="48">
        <v>481.5</v>
      </c>
      <c r="U13" s="48">
        <v>486.7</v>
      </c>
      <c r="V13" s="48">
        <f>+V67+V100+V115+V128</f>
        <v>585.15732864887252</v>
      </c>
      <c r="W13" s="170">
        <f t="shared" si="12"/>
        <v>2079.1573286488724</v>
      </c>
      <c r="X13" s="48">
        <f t="shared" si="21"/>
        <v>544.38568227884173</v>
      </c>
      <c r="Y13" s="48">
        <f t="shared" si="21"/>
        <v>517.43874141404103</v>
      </c>
      <c r="Z13" s="48">
        <f t="shared" si="21"/>
        <v>533.75406319160948</v>
      </c>
      <c r="AA13" s="48">
        <f t="shared" si="21"/>
        <v>554.65241380044404</v>
      </c>
      <c r="AB13" s="49">
        <f t="shared" si="13"/>
        <v>2150.2309006849364</v>
      </c>
      <c r="AC13" s="48">
        <f t="shared" si="23"/>
        <v>554.40509090535272</v>
      </c>
      <c r="AD13" s="48">
        <f t="shared" si="23"/>
        <v>554.75304955639217</v>
      </c>
      <c r="AE13" s="48">
        <f t="shared" si="23"/>
        <v>552.70473095659281</v>
      </c>
      <c r="AF13" s="48">
        <f t="shared" si="23"/>
        <v>576.79677732245693</v>
      </c>
      <c r="AG13" s="49">
        <f t="shared" si="14"/>
        <v>2238.6596487407946</v>
      </c>
      <c r="AH13" s="48">
        <f t="shared" si="24"/>
        <v>572.20701801038967</v>
      </c>
      <c r="AI13" s="48">
        <f t="shared" si="24"/>
        <v>573.02891896673486</v>
      </c>
      <c r="AJ13" s="48">
        <f t="shared" si="24"/>
        <v>569.8047174318682</v>
      </c>
      <c r="AK13" s="48">
        <f t="shared" si="24"/>
        <v>596.65495649758179</v>
      </c>
      <c r="AL13" s="49">
        <f t="shared" si="15"/>
        <v>2311.6956109065745</v>
      </c>
      <c r="AM13" s="48">
        <f t="shared" si="25"/>
        <v>600.42536103643693</v>
      </c>
      <c r="AN13" s="48">
        <f t="shared" si="25"/>
        <v>598.71965886052408</v>
      </c>
      <c r="AO13" s="48">
        <f t="shared" si="25"/>
        <v>593.7258709617754</v>
      </c>
      <c r="AP13" s="48">
        <f t="shared" si="25"/>
        <v>621.21079082069127</v>
      </c>
      <c r="AQ13" s="49">
        <f t="shared" si="16"/>
        <v>2414.0816816794277</v>
      </c>
      <c r="AR13" s="48">
        <f t="shared" si="26"/>
        <v>618.57835428611804</v>
      </c>
      <c r="AS13" s="48">
        <f t="shared" si="26"/>
        <v>616.49470219490081</v>
      </c>
      <c r="AT13" s="48">
        <f t="shared" si="26"/>
        <v>611.16362721567521</v>
      </c>
      <c r="AU13" s="48">
        <f t="shared" si="26"/>
        <v>640.55504137044829</v>
      </c>
      <c r="AV13" s="49">
        <f t="shared" si="17"/>
        <v>2486.7917250671421</v>
      </c>
    </row>
    <row r="14" spans="1:48" ht="17.25" customHeight="1" outlineLevel="1" x14ac:dyDescent="0.45">
      <c r="B14" s="38" t="s">
        <v>42</v>
      </c>
      <c r="C14" s="18"/>
      <c r="D14" s="104">
        <v>43.2</v>
      </c>
      <c r="E14" s="104">
        <v>43</v>
      </c>
      <c r="F14" s="104">
        <v>37.700000000000003</v>
      </c>
      <c r="G14" s="104">
        <f t="shared" si="0"/>
        <v>11.900000000000006</v>
      </c>
      <c r="H14" s="173">
        <v>135.80000000000001</v>
      </c>
      <c r="I14" s="104">
        <v>6.3</v>
      </c>
      <c r="J14" s="104">
        <v>-0.7</v>
      </c>
      <c r="K14" s="104">
        <v>78.099999999999994</v>
      </c>
      <c r="L14" s="104">
        <v>195</v>
      </c>
      <c r="M14" s="53">
        <f t="shared" ref="M14" si="27">SUM(I14:L14)</f>
        <v>278.7</v>
      </c>
      <c r="N14" s="52">
        <v>72.2</v>
      </c>
      <c r="O14" s="104">
        <v>23</v>
      </c>
      <c r="P14" s="104">
        <v>19.8</v>
      </c>
      <c r="Q14" s="104">
        <v>55.5</v>
      </c>
      <c r="R14" s="173">
        <f t="shared" ref="R14" si="28">SUM(N14:Q14)</f>
        <v>170.5</v>
      </c>
      <c r="S14" s="52">
        <v>-7.5</v>
      </c>
      <c r="T14" s="52">
        <v>4.4000000000000004</v>
      </c>
      <c r="U14" s="52">
        <v>14</v>
      </c>
      <c r="V14" s="52">
        <f>+V69+V102+V117+V129</f>
        <v>50</v>
      </c>
      <c r="W14" s="173">
        <f t="shared" ref="W14" si="29">SUM(S14:V14)</f>
        <v>60.9</v>
      </c>
      <c r="X14" s="52">
        <f>+X69+X102+X117+X129</f>
        <v>50</v>
      </c>
      <c r="Y14" s="52">
        <f>+Y69+Y102+Y117+Y129</f>
        <v>0</v>
      </c>
      <c r="Z14" s="52">
        <f>+Z69+Z102+Z117+Z129</f>
        <v>0</v>
      </c>
      <c r="AA14" s="52">
        <f>+AA69+AA102+AA117+AA129</f>
        <v>0</v>
      </c>
      <c r="AB14" s="53">
        <f t="shared" ref="AB14" si="30">SUM(X14:AA14)</f>
        <v>50</v>
      </c>
      <c r="AC14" s="52">
        <f>+AC69+AC102+AC117+AC129</f>
        <v>0</v>
      </c>
      <c r="AD14" s="52">
        <f>+AD69+AD102+AD117+AD129</f>
        <v>0</v>
      </c>
      <c r="AE14" s="52">
        <f>+AE69+AE102+AE117+AE129</f>
        <v>0</v>
      </c>
      <c r="AF14" s="52">
        <f>+AF69+AF102+AF117+AF129</f>
        <v>0</v>
      </c>
      <c r="AG14" s="53">
        <f t="shared" si="14"/>
        <v>0</v>
      </c>
      <c r="AH14" s="52">
        <f>+AH69+AH102+AH117+AH129</f>
        <v>0</v>
      </c>
      <c r="AI14" s="52">
        <f>+AI69+AI102+AI117+AI129</f>
        <v>0</v>
      </c>
      <c r="AJ14" s="52">
        <f>+AJ69+AJ102+AJ117+AJ129</f>
        <v>0</v>
      </c>
      <c r="AK14" s="52">
        <f>+AK69+AK102+AK117+AK129</f>
        <v>0</v>
      </c>
      <c r="AL14" s="53">
        <f t="shared" si="15"/>
        <v>0</v>
      </c>
      <c r="AM14" s="52">
        <f>+AM69+AM102+AM117+AM129</f>
        <v>0</v>
      </c>
      <c r="AN14" s="52">
        <f>+AN69+AN102+AN117+AN129</f>
        <v>0</v>
      </c>
      <c r="AO14" s="52">
        <f>+AO69+AO102+AO117+AO129</f>
        <v>0</v>
      </c>
      <c r="AP14" s="52">
        <f>+AP69+AP102+AP117+AP129</f>
        <v>0</v>
      </c>
      <c r="AQ14" s="53">
        <f t="shared" si="16"/>
        <v>0</v>
      </c>
      <c r="AR14" s="52">
        <f>+AR69+AR102+AR117+AR129</f>
        <v>0</v>
      </c>
      <c r="AS14" s="52">
        <f>+AS69+AS102+AS117+AS129</f>
        <v>0</v>
      </c>
      <c r="AT14" s="52">
        <f>+AT69+AT102+AT117+AT129</f>
        <v>0</v>
      </c>
      <c r="AU14" s="52">
        <f>+AU69+AU102+AU117+AU129</f>
        <v>0</v>
      </c>
      <c r="AV14" s="53">
        <f t="shared" si="17"/>
        <v>0</v>
      </c>
    </row>
    <row r="15" spans="1:48" s="20" customFormat="1" ht="17.25" customHeight="1" x14ac:dyDescent="0.45">
      <c r="B15" s="46" t="s">
        <v>8</v>
      </c>
      <c r="C15" s="19"/>
      <c r="D15" s="106">
        <f t="shared" ref="D15:AL15" si="31">SUM(D10:D14)+D9</f>
        <v>5684.8</v>
      </c>
      <c r="E15" s="106">
        <f t="shared" si="31"/>
        <v>5510.5</v>
      </c>
      <c r="F15" s="106">
        <f t="shared" si="31"/>
        <v>5777.6999999999989</v>
      </c>
      <c r="G15" s="106">
        <f t="shared" si="31"/>
        <v>5755.7</v>
      </c>
      <c r="H15" s="175">
        <f t="shared" si="31"/>
        <v>22728.699999999997</v>
      </c>
      <c r="I15" s="106">
        <f t="shared" si="31"/>
        <v>5951.2000000000007</v>
      </c>
      <c r="J15" s="106">
        <f t="shared" si="31"/>
        <v>5576.2000000000007</v>
      </c>
      <c r="K15" s="106">
        <f t="shared" si="31"/>
        <v>4994.3999999999996</v>
      </c>
      <c r="L15" s="54">
        <f t="shared" si="31"/>
        <v>5757</v>
      </c>
      <c r="M15" s="55">
        <f t="shared" si="31"/>
        <v>22278.799999999999</v>
      </c>
      <c r="N15" s="54">
        <f t="shared" si="31"/>
        <v>5918.6</v>
      </c>
      <c r="O15" s="106">
        <f t="shared" si="31"/>
        <v>5757.5</v>
      </c>
      <c r="P15" s="106">
        <f>SUM(P10:P14)+P9</f>
        <v>6113.3000000000011</v>
      </c>
      <c r="Q15" s="106">
        <f>SUM(Q10:Q14)+Q9</f>
        <v>6784.5</v>
      </c>
      <c r="R15" s="175">
        <f t="shared" si="31"/>
        <v>24573.9</v>
      </c>
      <c r="S15" s="54">
        <f t="shared" si="31"/>
        <v>6912.9</v>
      </c>
      <c r="T15" s="54">
        <f t="shared" si="31"/>
        <v>6735.7999999999993</v>
      </c>
      <c r="U15" s="54">
        <f t="shared" si="31"/>
        <v>6908.7000000000007</v>
      </c>
      <c r="V15" s="54">
        <f t="shared" si="31"/>
        <v>7234.9448779717168</v>
      </c>
      <c r="W15" s="175">
        <f t="shared" si="31"/>
        <v>27792.344877971722</v>
      </c>
      <c r="X15" s="54">
        <f t="shared" si="31"/>
        <v>7635.4673338942976</v>
      </c>
      <c r="Y15" s="54">
        <f t="shared" si="31"/>
        <v>7406.9748382788121</v>
      </c>
      <c r="Z15" s="54">
        <f t="shared" si="31"/>
        <v>7898.782920331354</v>
      </c>
      <c r="AA15" s="54">
        <f t="shared" si="31"/>
        <v>7993.8063386975682</v>
      </c>
      <c r="AB15" s="55">
        <f t="shared" si="31"/>
        <v>30935.031431202031</v>
      </c>
      <c r="AC15" s="54">
        <f t="shared" si="31"/>
        <v>8364.4387033566381</v>
      </c>
      <c r="AD15" s="54">
        <f t="shared" si="31"/>
        <v>8096.7599359249525</v>
      </c>
      <c r="AE15" s="54">
        <f t="shared" si="31"/>
        <v>8683.0788925280285</v>
      </c>
      <c r="AF15" s="54">
        <f t="shared" si="31"/>
        <v>8962.0613988003715</v>
      </c>
      <c r="AG15" s="55">
        <f t="shared" si="31"/>
        <v>34106.338930609993</v>
      </c>
      <c r="AH15" s="54">
        <f t="shared" si="31"/>
        <v>9309.0054707369309</v>
      </c>
      <c r="AI15" s="54">
        <f t="shared" si="31"/>
        <v>8999.6379646926107</v>
      </c>
      <c r="AJ15" s="54">
        <f t="shared" si="31"/>
        <v>9586.0325622512828</v>
      </c>
      <c r="AK15" s="54">
        <f t="shared" si="31"/>
        <v>9980.8502822001374</v>
      </c>
      <c r="AL15" s="55">
        <f t="shared" si="31"/>
        <v>37875.526279880964</v>
      </c>
      <c r="AM15" s="54">
        <f t="shared" ref="AM15:AQ15" si="32">SUM(AM10:AM14)+AM9</f>
        <v>10195.606168520564</v>
      </c>
      <c r="AN15" s="54">
        <f t="shared" si="32"/>
        <v>9810.0158277938826</v>
      </c>
      <c r="AO15" s="54">
        <f t="shared" si="32"/>
        <v>10429.339049265509</v>
      </c>
      <c r="AP15" s="54">
        <f t="shared" si="32"/>
        <v>10832.11723768969</v>
      </c>
      <c r="AQ15" s="55">
        <f t="shared" si="32"/>
        <v>41267.078283269657</v>
      </c>
      <c r="AR15" s="54">
        <f t="shared" ref="AR15:AV15" si="33">SUM(AR10:AR14)+AR9</f>
        <v>10858.937669472041</v>
      </c>
      <c r="AS15" s="54">
        <f t="shared" si="33"/>
        <v>10439.910165361714</v>
      </c>
      <c r="AT15" s="54">
        <f t="shared" si="33"/>
        <v>11098.618121033767</v>
      </c>
      <c r="AU15" s="54">
        <f t="shared" si="33"/>
        <v>11528.205299036785</v>
      </c>
      <c r="AV15" s="55">
        <f t="shared" si="33"/>
        <v>43925.6712549043</v>
      </c>
    </row>
    <row r="16" spans="1:48" s="23" customFormat="1" ht="17.25" customHeight="1" x14ac:dyDescent="0.45">
      <c r="B16" s="461" t="s">
        <v>36</v>
      </c>
      <c r="C16" s="462"/>
      <c r="D16" s="104">
        <v>67.8</v>
      </c>
      <c r="E16" s="104">
        <v>62.3</v>
      </c>
      <c r="F16" s="104">
        <v>76</v>
      </c>
      <c r="G16" s="104">
        <f t="shared" si="0"/>
        <v>91.899999999999991</v>
      </c>
      <c r="H16" s="173">
        <v>298</v>
      </c>
      <c r="I16" s="104">
        <v>73.900000000000006</v>
      </c>
      <c r="J16" s="104">
        <v>67.900000000000006</v>
      </c>
      <c r="K16" s="104">
        <v>68.400000000000006</v>
      </c>
      <c r="L16" s="52">
        <v>112.2</v>
      </c>
      <c r="M16" s="53">
        <f t="shared" ref="M16" si="34">SUM(I16:L16)</f>
        <v>322.40000000000003</v>
      </c>
      <c r="N16" s="52">
        <v>82.7</v>
      </c>
      <c r="O16" s="104">
        <v>77.099999999999994</v>
      </c>
      <c r="P16" s="104">
        <v>105.5</v>
      </c>
      <c r="Q16" s="104">
        <v>120</v>
      </c>
      <c r="R16" s="173">
        <f t="shared" ref="R16" si="35">SUM(N16:Q16)</f>
        <v>385.3</v>
      </c>
      <c r="S16" s="52">
        <v>40.299999999999997</v>
      </c>
      <c r="T16" s="52">
        <v>49.1</v>
      </c>
      <c r="U16" s="52">
        <v>54.1</v>
      </c>
      <c r="V16" s="52">
        <f>+V104+V119</f>
        <v>54.1</v>
      </c>
      <c r="W16" s="173">
        <f t="shared" ref="W16" si="36">SUM(S16:V16)</f>
        <v>197.6</v>
      </c>
      <c r="X16" s="52">
        <f>+X104+X119</f>
        <v>54.1</v>
      </c>
      <c r="Y16" s="52">
        <f>+Y104+Y119</f>
        <v>54.2</v>
      </c>
      <c r="Z16" s="52">
        <f>+Z104+Z119</f>
        <v>54.300000000000004</v>
      </c>
      <c r="AA16" s="52">
        <f>+AA104+AA119</f>
        <v>54.400000000000006</v>
      </c>
      <c r="AB16" s="53">
        <f t="shared" ref="AB16" si="37">SUM(X16:AA16)</f>
        <v>217.00000000000003</v>
      </c>
      <c r="AC16" s="52">
        <f>+AC104+AC119</f>
        <v>54.7</v>
      </c>
      <c r="AD16" s="52">
        <f>+AD104+AD119</f>
        <v>54.7</v>
      </c>
      <c r="AE16" s="52">
        <f>+AE104+AE119</f>
        <v>54.7</v>
      </c>
      <c r="AF16" s="52">
        <f>+AF104+AF119</f>
        <v>54.7</v>
      </c>
      <c r="AG16" s="53">
        <f t="shared" ref="AG16" si="38">SUM(AC16:AF16)</f>
        <v>218.8</v>
      </c>
      <c r="AH16" s="52">
        <f>+AH104+AH119</f>
        <v>54.7</v>
      </c>
      <c r="AI16" s="52">
        <f>+AI104+AI119</f>
        <v>54.7</v>
      </c>
      <c r="AJ16" s="52">
        <f>+AJ104+AJ119</f>
        <v>54.7</v>
      </c>
      <c r="AK16" s="52">
        <f>+AK104+AK119</f>
        <v>54.7</v>
      </c>
      <c r="AL16" s="53">
        <f t="shared" ref="AL16" si="39">SUM(AH16:AK16)</f>
        <v>218.8</v>
      </c>
      <c r="AM16" s="52">
        <f>+AM104+AM119</f>
        <v>54.7</v>
      </c>
      <c r="AN16" s="52">
        <f>+AN104+AN119</f>
        <v>54.7</v>
      </c>
      <c r="AO16" s="52">
        <f>+AO104+AO119</f>
        <v>54.7</v>
      </c>
      <c r="AP16" s="52">
        <f>+AP104+AP119</f>
        <v>54.7</v>
      </c>
      <c r="AQ16" s="53">
        <f t="shared" ref="AQ16" si="40">SUM(AM16:AP16)</f>
        <v>218.8</v>
      </c>
      <c r="AR16" s="52">
        <f>+AR104+AR119</f>
        <v>54.7</v>
      </c>
      <c r="AS16" s="52">
        <f>+AS104+AS119</f>
        <v>54.7</v>
      </c>
      <c r="AT16" s="52">
        <f>+AT104+AT119</f>
        <v>54.7</v>
      </c>
      <c r="AU16" s="52">
        <f>+AU104+AU119</f>
        <v>54.7</v>
      </c>
      <c r="AV16" s="53">
        <f t="shared" ref="AV16" si="41">SUM(AR16:AU16)</f>
        <v>218.8</v>
      </c>
    </row>
    <row r="17" spans="1:48" x14ac:dyDescent="0.3">
      <c r="B17" s="135" t="s">
        <v>10</v>
      </c>
      <c r="C17" s="136"/>
      <c r="D17" s="103">
        <f t="shared" ref="D17:AV17" si="42">D8-D15+D16</f>
        <v>1015.7000000000005</v>
      </c>
      <c r="E17" s="103">
        <f t="shared" si="42"/>
        <v>857.69999999999959</v>
      </c>
      <c r="F17" s="103">
        <f t="shared" si="42"/>
        <v>1121.3000000000011</v>
      </c>
      <c r="G17" s="103">
        <f t="shared" si="42"/>
        <v>1083.2000000000012</v>
      </c>
      <c r="H17" s="171">
        <f t="shared" si="42"/>
        <v>4077.9000000000051</v>
      </c>
      <c r="I17" s="103">
        <f t="shared" si="42"/>
        <v>1219.7999999999988</v>
      </c>
      <c r="J17" s="103">
        <f t="shared" si="42"/>
        <v>487.39999999999907</v>
      </c>
      <c r="K17" s="103">
        <f t="shared" si="42"/>
        <v>-703.8999999999993</v>
      </c>
      <c r="L17" s="50">
        <f t="shared" si="42"/>
        <v>558.30000000000041</v>
      </c>
      <c r="M17" s="51">
        <f t="shared" si="42"/>
        <v>1561.6000000000045</v>
      </c>
      <c r="N17" s="50">
        <f t="shared" si="42"/>
        <v>913.50000000000023</v>
      </c>
      <c r="O17" s="103">
        <f t="shared" si="42"/>
        <v>987.6</v>
      </c>
      <c r="P17" s="103">
        <f>P8-P15+P16</f>
        <v>1488.6999999999989</v>
      </c>
      <c r="Q17" s="103">
        <f>Q8-Q15+Q16</f>
        <v>1482.1999999999998</v>
      </c>
      <c r="R17" s="171">
        <f t="shared" si="42"/>
        <v>4871.9999999999973</v>
      </c>
      <c r="S17" s="50">
        <f t="shared" si="42"/>
        <v>1177.8</v>
      </c>
      <c r="T17" s="50">
        <f t="shared" si="42"/>
        <v>948.9000000000002</v>
      </c>
      <c r="U17" s="50">
        <f t="shared" si="42"/>
        <v>1295.4999999999995</v>
      </c>
      <c r="V17" s="50">
        <f t="shared" si="42"/>
        <v>1106.8835609451121</v>
      </c>
      <c r="W17" s="171">
        <f t="shared" si="42"/>
        <v>4529.0835609451042</v>
      </c>
      <c r="X17" s="50">
        <f t="shared" si="42"/>
        <v>1175.3206117683671</v>
      </c>
      <c r="Y17" s="50">
        <f t="shared" si="42"/>
        <v>1124.3222016528055</v>
      </c>
      <c r="Z17" s="50">
        <f t="shared" si="42"/>
        <v>1439.8751262713711</v>
      </c>
      <c r="AA17" s="50">
        <f t="shared" si="42"/>
        <v>1551.2163729380195</v>
      </c>
      <c r="AB17" s="51">
        <f t="shared" si="42"/>
        <v>5290.7343126305677</v>
      </c>
      <c r="AC17" s="50">
        <f t="shared" si="42"/>
        <v>1620.3256352406218</v>
      </c>
      <c r="AD17" s="50">
        <f t="shared" si="42"/>
        <v>1347.8406500791928</v>
      </c>
      <c r="AE17" s="50">
        <f t="shared" si="42"/>
        <v>1663.9709975581584</v>
      </c>
      <c r="AF17" s="50">
        <f t="shared" si="42"/>
        <v>1640.9533251711757</v>
      </c>
      <c r="AG17" s="51">
        <f t="shared" si="42"/>
        <v>6273.090608049145</v>
      </c>
      <c r="AH17" s="50">
        <f t="shared" si="42"/>
        <v>1925.6732587867439</v>
      </c>
      <c r="AI17" s="50">
        <f t="shared" si="42"/>
        <v>1620.1985754347654</v>
      </c>
      <c r="AJ17" s="50">
        <f t="shared" si="42"/>
        <v>2056.0459333065091</v>
      </c>
      <c r="AK17" s="50">
        <f t="shared" si="42"/>
        <v>1969.1355812795512</v>
      </c>
      <c r="AL17" s="51">
        <f t="shared" si="42"/>
        <v>7571.0533488075716</v>
      </c>
      <c r="AM17" s="50">
        <f t="shared" si="42"/>
        <v>2153.578703811957</v>
      </c>
      <c r="AN17" s="50">
        <f t="shared" si="42"/>
        <v>1805.7444508305537</v>
      </c>
      <c r="AO17" s="50">
        <f t="shared" si="42"/>
        <v>2259.963368504722</v>
      </c>
      <c r="AP17" s="50">
        <f t="shared" si="42"/>
        <v>2155.1320566014265</v>
      </c>
      <c r="AQ17" s="51">
        <f t="shared" si="42"/>
        <v>8374.4185797486462</v>
      </c>
      <c r="AR17" s="50">
        <f t="shared" si="42"/>
        <v>2289.4472397737509</v>
      </c>
      <c r="AS17" s="50">
        <f t="shared" si="42"/>
        <v>1918.6174735730031</v>
      </c>
      <c r="AT17" s="50">
        <f t="shared" si="42"/>
        <v>2399.6413990818937</v>
      </c>
      <c r="AU17" s="50">
        <f t="shared" si="42"/>
        <v>2290.7819609297503</v>
      </c>
      <c r="AV17" s="51">
        <f t="shared" si="42"/>
        <v>8898.4880733584105</v>
      </c>
    </row>
    <row r="18" spans="1:48" ht="16.2" x14ac:dyDescent="0.45">
      <c r="B18" s="123" t="s">
        <v>70</v>
      </c>
      <c r="C18" s="88"/>
      <c r="D18" s="107">
        <f>+D170</f>
        <v>138</v>
      </c>
      <c r="E18" s="107">
        <f>+E170</f>
        <v>141.4</v>
      </c>
      <c r="F18" s="107">
        <f>+F170</f>
        <v>125.30000000000001</v>
      </c>
      <c r="G18" s="107">
        <f>+G170</f>
        <v>77.399999999999991</v>
      </c>
      <c r="H18" s="176">
        <f>SUM(D18:G18)</f>
        <v>482.09999999999997</v>
      </c>
      <c r="I18" s="107">
        <f>+I170</f>
        <v>71.599999999999994</v>
      </c>
      <c r="J18" s="107">
        <f>+J170</f>
        <v>66.8</v>
      </c>
      <c r="K18" s="107">
        <f>+K170</f>
        <v>173.67999999999998</v>
      </c>
      <c r="L18" s="89">
        <f>+L170</f>
        <v>259.5</v>
      </c>
      <c r="M18" s="90">
        <f>SUM(I18:L18)</f>
        <v>571.57999999999993</v>
      </c>
      <c r="N18" s="107">
        <f>+N170</f>
        <v>134.9</v>
      </c>
      <c r="O18" s="107">
        <f>+O170</f>
        <v>88.2</v>
      </c>
      <c r="P18" s="107">
        <f>+P170</f>
        <v>51.7</v>
      </c>
      <c r="Q18" s="107">
        <f>+Q170</f>
        <v>115.2</v>
      </c>
      <c r="R18" s="176">
        <f>SUM(N18:Q18)</f>
        <v>390</v>
      </c>
      <c r="S18" s="89">
        <f>+S170</f>
        <v>35.199999999999996</v>
      </c>
      <c r="T18" s="89">
        <f>+T170</f>
        <v>47.5</v>
      </c>
      <c r="U18" s="89">
        <f>+U170</f>
        <v>77.5</v>
      </c>
      <c r="V18" s="89">
        <f>+V170</f>
        <v>114</v>
      </c>
      <c r="W18" s="176">
        <f>SUM(S18:V18)</f>
        <v>274.2</v>
      </c>
      <c r="X18" s="89">
        <f>+X170</f>
        <v>114</v>
      </c>
      <c r="Y18" s="89">
        <f>+Y170</f>
        <v>64</v>
      </c>
      <c r="Z18" s="89">
        <f>+Z170</f>
        <v>64</v>
      </c>
      <c r="AA18" s="89">
        <f>+AA170</f>
        <v>64</v>
      </c>
      <c r="AB18" s="90">
        <f>SUM(X18:AA18)</f>
        <v>306</v>
      </c>
      <c r="AC18" s="89">
        <f t="shared" ref="AC18:AF18" si="43">+AC170</f>
        <v>64</v>
      </c>
      <c r="AD18" s="89">
        <f t="shared" si="43"/>
        <v>64</v>
      </c>
      <c r="AE18" s="89">
        <f t="shared" si="43"/>
        <v>64</v>
      </c>
      <c r="AF18" s="89">
        <f t="shared" si="43"/>
        <v>64</v>
      </c>
      <c r="AG18" s="90">
        <f>SUM(AC18:AF18)</f>
        <v>256</v>
      </c>
      <c r="AH18" s="89">
        <f t="shared" ref="AH18:AK18" si="44">+AH170</f>
        <v>64</v>
      </c>
      <c r="AI18" s="89">
        <f t="shared" si="44"/>
        <v>64</v>
      </c>
      <c r="AJ18" s="89">
        <f t="shared" si="44"/>
        <v>64</v>
      </c>
      <c r="AK18" s="89">
        <f t="shared" si="44"/>
        <v>64</v>
      </c>
      <c r="AL18" s="90">
        <f>SUM(AH18:AK18)</f>
        <v>256</v>
      </c>
      <c r="AM18" s="89">
        <f t="shared" ref="AM18:AP18" si="45">+AM170</f>
        <v>64</v>
      </c>
      <c r="AN18" s="89">
        <f t="shared" si="45"/>
        <v>64</v>
      </c>
      <c r="AO18" s="89">
        <f t="shared" si="45"/>
        <v>64</v>
      </c>
      <c r="AP18" s="89">
        <f t="shared" si="45"/>
        <v>64</v>
      </c>
      <c r="AQ18" s="90">
        <f>SUM(AM18:AP18)</f>
        <v>256</v>
      </c>
      <c r="AR18" s="89">
        <f t="shared" ref="AR18:AU18" si="46">+AR170</f>
        <v>64</v>
      </c>
      <c r="AS18" s="89">
        <f t="shared" si="46"/>
        <v>64</v>
      </c>
      <c r="AT18" s="89">
        <f t="shared" si="46"/>
        <v>64</v>
      </c>
      <c r="AU18" s="89">
        <f t="shared" si="46"/>
        <v>64</v>
      </c>
      <c r="AV18" s="90">
        <f>SUM(AR18:AU18)</f>
        <v>256</v>
      </c>
    </row>
    <row r="19" spans="1:48" x14ac:dyDescent="0.3">
      <c r="B19" s="124" t="s">
        <v>71</v>
      </c>
      <c r="C19" s="79"/>
      <c r="D19" s="108">
        <f t="shared" ref="D19:AV19" si="47">+D17+D18</f>
        <v>1153.7000000000005</v>
      </c>
      <c r="E19" s="108">
        <f t="shared" si="47"/>
        <v>999.09999999999957</v>
      </c>
      <c r="F19" s="108">
        <f t="shared" si="47"/>
        <v>1246.600000000001</v>
      </c>
      <c r="G19" s="108">
        <f t="shared" si="47"/>
        <v>1160.6000000000013</v>
      </c>
      <c r="H19" s="177">
        <f t="shared" si="47"/>
        <v>4560.0000000000055</v>
      </c>
      <c r="I19" s="108">
        <f t="shared" si="47"/>
        <v>1291.3999999999987</v>
      </c>
      <c r="J19" s="108">
        <f t="shared" si="47"/>
        <v>554.19999999999902</v>
      </c>
      <c r="K19" s="108">
        <f t="shared" si="47"/>
        <v>-530.21999999999935</v>
      </c>
      <c r="L19" s="80">
        <f t="shared" si="47"/>
        <v>817.80000000000041</v>
      </c>
      <c r="M19" s="81">
        <f t="shared" si="47"/>
        <v>2133.1800000000044</v>
      </c>
      <c r="N19" s="108">
        <f t="shared" si="47"/>
        <v>1048.4000000000003</v>
      </c>
      <c r="O19" s="108">
        <f t="shared" si="47"/>
        <v>1075.8</v>
      </c>
      <c r="P19" s="108">
        <f t="shared" si="47"/>
        <v>1540.399999999999</v>
      </c>
      <c r="Q19" s="108">
        <f t="shared" si="47"/>
        <v>1597.3999999999999</v>
      </c>
      <c r="R19" s="177">
        <f t="shared" si="47"/>
        <v>5261.9999999999973</v>
      </c>
      <c r="S19" s="80">
        <f t="shared" si="47"/>
        <v>1213</v>
      </c>
      <c r="T19" s="80">
        <f t="shared" si="47"/>
        <v>996.4000000000002</v>
      </c>
      <c r="U19" s="80">
        <f t="shared" si="47"/>
        <v>1372.9999999999995</v>
      </c>
      <c r="V19" s="80">
        <f t="shared" si="47"/>
        <v>1220.8835609451121</v>
      </c>
      <c r="W19" s="177">
        <f t="shared" si="47"/>
        <v>4803.283560945104</v>
      </c>
      <c r="X19" s="80">
        <f t="shared" si="47"/>
        <v>1289.3206117683671</v>
      </c>
      <c r="Y19" s="80">
        <f t="shared" si="47"/>
        <v>1188.3222016528055</v>
      </c>
      <c r="Z19" s="80">
        <f t="shared" si="47"/>
        <v>1503.8751262713711</v>
      </c>
      <c r="AA19" s="80">
        <f t="shared" si="47"/>
        <v>1615.2163729380195</v>
      </c>
      <c r="AB19" s="81">
        <f t="shared" si="47"/>
        <v>5596.7343126305677</v>
      </c>
      <c r="AC19" s="80">
        <f t="shared" si="47"/>
        <v>1684.3256352406218</v>
      </c>
      <c r="AD19" s="80">
        <f t="shared" si="47"/>
        <v>1411.8406500791928</v>
      </c>
      <c r="AE19" s="80">
        <f t="shared" si="47"/>
        <v>1727.9709975581584</v>
      </c>
      <c r="AF19" s="80">
        <f t="shared" si="47"/>
        <v>1704.9533251711757</v>
      </c>
      <c r="AG19" s="81">
        <f t="shared" si="47"/>
        <v>6529.090608049145</v>
      </c>
      <c r="AH19" s="80">
        <f t="shared" si="47"/>
        <v>1989.6732587867439</v>
      </c>
      <c r="AI19" s="80">
        <f t="shared" si="47"/>
        <v>1684.1985754347654</v>
      </c>
      <c r="AJ19" s="80">
        <f t="shared" si="47"/>
        <v>2120.0459333065091</v>
      </c>
      <c r="AK19" s="80">
        <f t="shared" si="47"/>
        <v>2033.1355812795512</v>
      </c>
      <c r="AL19" s="81">
        <f t="shared" si="47"/>
        <v>7827.0533488075716</v>
      </c>
      <c r="AM19" s="80">
        <f t="shared" si="47"/>
        <v>2217.578703811957</v>
      </c>
      <c r="AN19" s="80">
        <f t="shared" si="47"/>
        <v>1869.7444508305537</v>
      </c>
      <c r="AO19" s="80">
        <f t="shared" si="47"/>
        <v>2323.963368504722</v>
      </c>
      <c r="AP19" s="80">
        <f t="shared" si="47"/>
        <v>2219.1320566014265</v>
      </c>
      <c r="AQ19" s="81">
        <f t="shared" si="47"/>
        <v>8630.4185797486462</v>
      </c>
      <c r="AR19" s="80">
        <f t="shared" si="47"/>
        <v>2353.4472397737509</v>
      </c>
      <c r="AS19" s="80">
        <f t="shared" si="47"/>
        <v>1982.6174735730031</v>
      </c>
      <c r="AT19" s="80">
        <f t="shared" si="47"/>
        <v>2463.6413990818937</v>
      </c>
      <c r="AU19" s="80">
        <f t="shared" si="47"/>
        <v>2354.7819609297503</v>
      </c>
      <c r="AV19" s="81">
        <f t="shared" si="47"/>
        <v>9154.4880733584105</v>
      </c>
    </row>
    <row r="20" spans="1:48" x14ac:dyDescent="0.3">
      <c r="B20" s="38" t="s">
        <v>63</v>
      </c>
      <c r="C20" s="18"/>
      <c r="D20" s="105">
        <v>0</v>
      </c>
      <c r="E20" s="105">
        <v>21</v>
      </c>
      <c r="F20" s="105">
        <v>601.79999999999995</v>
      </c>
      <c r="G20" s="105">
        <f t="shared" ref="G20:G22" si="48">H20-F20-E20-D20</f>
        <v>0</v>
      </c>
      <c r="H20" s="170">
        <v>622.79999999999995</v>
      </c>
      <c r="I20" s="105">
        <v>0</v>
      </c>
      <c r="J20" s="105">
        <v>0</v>
      </c>
      <c r="K20" s="105">
        <v>0</v>
      </c>
      <c r="L20" s="105">
        <v>0</v>
      </c>
      <c r="M20" s="170">
        <f>SUM(I20:L20)</f>
        <v>0</v>
      </c>
      <c r="N20" s="105">
        <v>0</v>
      </c>
      <c r="O20" s="105">
        <v>0</v>
      </c>
      <c r="P20" s="105">
        <v>0</v>
      </c>
      <c r="Q20" s="105">
        <v>864.5</v>
      </c>
      <c r="R20" s="170">
        <f>SUM(N20:Q20)</f>
        <v>864.5</v>
      </c>
      <c r="S20" s="105">
        <v>0</v>
      </c>
      <c r="T20" s="105">
        <v>0</v>
      </c>
      <c r="U20" s="105">
        <v>0</v>
      </c>
      <c r="V20" s="105">
        <v>0</v>
      </c>
      <c r="W20" s="170">
        <f>SUM(S20:V20)</f>
        <v>0</v>
      </c>
      <c r="X20" s="105">
        <v>0</v>
      </c>
      <c r="Y20" s="105">
        <v>0</v>
      </c>
      <c r="Z20" s="105">
        <v>0</v>
      </c>
      <c r="AA20" s="105">
        <v>0</v>
      </c>
      <c r="AB20" s="170">
        <f>SUM(X20:AA20)</f>
        <v>0</v>
      </c>
      <c r="AC20" s="105">
        <v>0</v>
      </c>
      <c r="AD20" s="105">
        <v>0</v>
      </c>
      <c r="AE20" s="105">
        <v>0</v>
      </c>
      <c r="AF20" s="105">
        <v>0</v>
      </c>
      <c r="AG20" s="170">
        <f>SUM(AC20:AF20)</f>
        <v>0</v>
      </c>
      <c r="AH20" s="105">
        <v>0</v>
      </c>
      <c r="AI20" s="105">
        <v>0</v>
      </c>
      <c r="AJ20" s="105">
        <v>0</v>
      </c>
      <c r="AK20" s="105">
        <v>0</v>
      </c>
      <c r="AL20" s="170">
        <f>SUM(AH20:AK20)</f>
        <v>0</v>
      </c>
      <c r="AM20" s="105">
        <v>0</v>
      </c>
      <c r="AN20" s="105">
        <v>0</v>
      </c>
      <c r="AO20" s="105">
        <v>0</v>
      </c>
      <c r="AP20" s="105">
        <v>0</v>
      </c>
      <c r="AQ20" s="170">
        <f>SUM(AM20:AP20)</f>
        <v>0</v>
      </c>
      <c r="AR20" s="105">
        <v>0</v>
      </c>
      <c r="AS20" s="105">
        <v>0</v>
      </c>
      <c r="AT20" s="105">
        <v>0</v>
      </c>
      <c r="AU20" s="105">
        <v>0</v>
      </c>
      <c r="AV20" s="170">
        <f>SUM(AR20:AU20)</f>
        <v>0</v>
      </c>
    </row>
    <row r="21" spans="1:48" x14ac:dyDescent="0.3">
      <c r="B21" s="38" t="s">
        <v>37</v>
      </c>
      <c r="C21" s="18"/>
      <c r="D21" s="105">
        <v>24.8</v>
      </c>
      <c r="E21" s="105">
        <v>15.2</v>
      </c>
      <c r="F21" s="102">
        <v>40.200000000000003</v>
      </c>
      <c r="G21" s="105">
        <f t="shared" si="48"/>
        <v>16.299999999999994</v>
      </c>
      <c r="H21" s="170">
        <v>96.5</v>
      </c>
      <c r="I21" s="105">
        <v>15.9</v>
      </c>
      <c r="J21" s="105">
        <v>2</v>
      </c>
      <c r="K21" s="105">
        <v>12.7</v>
      </c>
      <c r="L21" s="105">
        <v>9.1</v>
      </c>
      <c r="M21" s="170">
        <f t="shared" ref="M21:M22" si="49">SUM(I21:L21)</f>
        <v>39.699999999999996</v>
      </c>
      <c r="N21" s="105">
        <v>15.5</v>
      </c>
      <c r="O21" s="105">
        <v>17.3</v>
      </c>
      <c r="P21" s="105">
        <v>36</v>
      </c>
      <c r="Q21" s="105">
        <v>21.5</v>
      </c>
      <c r="R21" s="170">
        <f t="shared" ref="R21" si="50">SUM(N21:Q21)</f>
        <v>90.3</v>
      </c>
      <c r="S21" s="105">
        <v>-0.1</v>
      </c>
      <c r="T21" s="105">
        <v>46.3</v>
      </c>
      <c r="U21" s="105">
        <v>19.8</v>
      </c>
      <c r="V21" s="105">
        <f>('BS (Bull-Case)'!U6+'BS (Bull-Case)'!U7+'BS (Bull-Case)'!U12)*'IS (Bull-Case)'!V144</f>
        <v>21.215247784595928</v>
      </c>
      <c r="W21" s="170">
        <f t="shared" ref="W21:W22" si="51">SUM(S21:V21)</f>
        <v>87.215247784595931</v>
      </c>
      <c r="X21" s="105">
        <f>('BS (Bull-Case)'!V6+'BS (Bull-Case)'!V7+'BS (Bull-Case)'!V12)*'IS (Bull-Case)'!X144</f>
        <v>30.755283736014132</v>
      </c>
      <c r="Y21" s="105">
        <f>('BS (Bull-Case)'!X6+'BS (Bull-Case)'!X7+'BS (Bull-Case)'!X12)*'IS (Bull-Case)'!Y144</f>
        <v>54.494500413858916</v>
      </c>
      <c r="Z21" s="105">
        <f>('BS (Bull-Case)'!Y6+'BS (Bull-Case)'!Y7+'BS (Bull-Case)'!Y12)*'IS (Bull-Case)'!Z144</f>
        <v>47.7944019887154</v>
      </c>
      <c r="AA21" s="105">
        <f>('BS (Bull-Case)'!Z6+'BS (Bull-Case)'!Z7+'BS (Bull-Case)'!Z12)*'IS (Bull-Case)'!AA144</f>
        <v>28.226423470526182</v>
      </c>
      <c r="AB21" s="170">
        <f t="shared" ref="AB21:AB22" si="52">SUM(X21:AA21)</f>
        <v>161.27060960911464</v>
      </c>
      <c r="AC21" s="105">
        <f>('BS (Bull-Case)'!AA6+'BS (Bull-Case)'!AA7+'BS (Bull-Case)'!AA12)*'IS (Bull-Case)'!AC144</f>
        <v>33.502905262587142</v>
      </c>
      <c r="AD21" s="105">
        <f>('BS (Bull-Case)'!AC6+'BS (Bull-Case)'!AC7+'BS (Bull-Case)'!AC12)*'IS (Bull-Case)'!AD144</f>
        <v>40.598475321711383</v>
      </c>
      <c r="AE21" s="105">
        <f>('BS (Bull-Case)'!AD6+'BS (Bull-Case)'!AD7+'BS (Bull-Case)'!AD12)*'IS (Bull-Case)'!AE144</f>
        <v>38.852013909512984</v>
      </c>
      <c r="AF21" s="105">
        <f>('BS (Bull-Case)'!AE6+'BS (Bull-Case)'!AE7+'BS (Bull-Case)'!AE12)*'IS (Bull-Case)'!AF144</f>
        <v>39.586907459958262</v>
      </c>
      <c r="AG21" s="170">
        <f t="shared" ref="AG21:AG22" si="53">SUM(AC21:AF21)</f>
        <v>152.54030195376978</v>
      </c>
      <c r="AH21" s="105">
        <f>('BS (Bull-Case)'!AF6+'BS (Bull-Case)'!AF7+'BS (Bull-Case)'!AF12)*'IS (Bull-Case)'!AH144</f>
        <v>44.674247186213783</v>
      </c>
      <c r="AI21" s="105">
        <f>('BS (Bull-Case)'!AH6+'BS (Bull-Case)'!AH7+'BS (Bull-Case)'!AH12)*'IS (Bull-Case)'!AI144</f>
        <v>52.727548479962515</v>
      </c>
      <c r="AJ21" s="105">
        <f>('BS (Bull-Case)'!AI6+'BS (Bull-Case)'!AI7+'BS (Bull-Case)'!AI12)*'IS (Bull-Case)'!AJ144</f>
        <v>51.251429224296714</v>
      </c>
      <c r="AK21" s="105">
        <f>('BS (Bull-Case)'!AJ6+'BS (Bull-Case)'!AJ7+'BS (Bull-Case)'!AJ12)*'IS (Bull-Case)'!AK144</f>
        <v>55.062911113101926</v>
      </c>
      <c r="AL21" s="170">
        <f t="shared" ref="AL21:AL22" si="54">SUM(AH21:AK21)</f>
        <v>203.71613600357495</v>
      </c>
      <c r="AM21" s="105">
        <f>('BS (Bull-Case)'!AK6+'BS (Bull-Case)'!AK7+'BS (Bull-Case)'!AK12)*'IS (Bull-Case)'!AM144</f>
        <v>31.672430330645689</v>
      </c>
      <c r="AN21" s="105">
        <f>('BS (Bull-Case)'!AM6+'BS (Bull-Case)'!AM7+'BS (Bull-Case)'!AM12)*'IS (Bull-Case)'!AN144</f>
        <v>39.957197940349367</v>
      </c>
      <c r="AO21" s="105">
        <f>('BS (Bull-Case)'!AN6+'BS (Bull-Case)'!AN7+'BS (Bull-Case)'!AN12)*'IS (Bull-Case)'!AO144</f>
        <v>37.225473327111708</v>
      </c>
      <c r="AP21" s="105">
        <f>('BS (Bull-Case)'!AO6+'BS (Bull-Case)'!AO7+'BS (Bull-Case)'!AO12)*'IS (Bull-Case)'!AP144</f>
        <v>38.337168315453219</v>
      </c>
      <c r="AQ21" s="170">
        <f t="shared" ref="AQ21:AQ22" si="55">SUM(AM21:AP21)</f>
        <v>147.19226991355998</v>
      </c>
      <c r="AR21" s="105">
        <f>('BS (Bull-Case)'!AP6+'BS (Bull-Case)'!AP7+'BS (Bull-Case)'!AP12)*'IS (Bull-Case)'!AR144</f>
        <v>45.185996652907676</v>
      </c>
      <c r="AS21" s="105">
        <f>('BS (Bull-Case)'!AR6+'BS (Bull-Case)'!AR7+'BS (Bull-Case)'!AR12)*'IS (Bull-Case)'!AS144</f>
        <v>55.138945720455013</v>
      </c>
      <c r="AT21" s="105">
        <f>('BS (Bull-Case)'!AS6+'BS (Bull-Case)'!AS7+'BS (Bull-Case)'!AS12)*'IS (Bull-Case)'!AT144</f>
        <v>53.040251855067922</v>
      </c>
      <c r="AU21" s="105">
        <f>('BS (Bull-Case)'!AT6+'BS (Bull-Case)'!AT7+'BS (Bull-Case)'!AT12)*'IS (Bull-Case)'!AU144</f>
        <v>55.2022947722513</v>
      </c>
      <c r="AV21" s="170">
        <f t="shared" ref="AV21:AV22" si="56">SUM(AR21:AU21)</f>
        <v>208.56748900068189</v>
      </c>
    </row>
    <row r="22" spans="1:48" ht="16.2" x14ac:dyDescent="0.45">
      <c r="B22" s="38" t="s">
        <v>38</v>
      </c>
      <c r="C22" s="356"/>
      <c r="D22" s="104">
        <v>-75</v>
      </c>
      <c r="E22" s="104">
        <v>-73.900000000000006</v>
      </c>
      <c r="F22" s="104">
        <v>-86.4</v>
      </c>
      <c r="G22" s="104">
        <f t="shared" si="48"/>
        <v>-95.699999999999989</v>
      </c>
      <c r="H22" s="173">
        <v>-331</v>
      </c>
      <c r="I22" s="104">
        <v>-91.9</v>
      </c>
      <c r="J22" s="104">
        <v>-99.2</v>
      </c>
      <c r="K22" s="104">
        <v>-120.8</v>
      </c>
      <c r="L22" s="104">
        <v>-125</v>
      </c>
      <c r="M22" s="173">
        <f t="shared" si="49"/>
        <v>-436.90000000000003</v>
      </c>
      <c r="N22" s="104">
        <v>-120.7</v>
      </c>
      <c r="O22" s="104">
        <v>-115</v>
      </c>
      <c r="P22" s="104">
        <v>-113.4</v>
      </c>
      <c r="Q22" s="104">
        <v>-120.6</v>
      </c>
      <c r="R22" s="173">
        <f t="shared" ref="R22" si="57">SUM(N22:Q22)</f>
        <v>-469.70000000000005</v>
      </c>
      <c r="S22" s="104">
        <v>-115.3</v>
      </c>
      <c r="T22" s="104">
        <v>-119.1</v>
      </c>
      <c r="U22" s="104">
        <v>-123.1</v>
      </c>
      <c r="V22" s="104">
        <f>-('BS (Bull-Case)'!U28+'BS (Bull-Case)'!U31)*V145</f>
        <v>-119.60932925321661</v>
      </c>
      <c r="W22" s="173">
        <f t="shared" si="51"/>
        <v>-477.10932925321663</v>
      </c>
      <c r="X22" s="104">
        <f>-('BS (Bull-Case)'!V28+'BS (Bull-Case)'!V31)*X145</f>
        <v>-119.52922600531741</v>
      </c>
      <c r="Y22" s="104">
        <f>-('BS (Bull-Case)'!X28+'BS (Bull-Case)'!X31)*Y145</f>
        <v>-121.02231600531739</v>
      </c>
      <c r="Z22" s="104">
        <f>-('BS (Bull-Case)'!Y28+'BS (Bull-Case)'!Y31)*Z145</f>
        <v>-122.51540600531739</v>
      </c>
      <c r="AA22" s="104">
        <f>-('BS (Bull-Case)'!Z28+'BS (Bull-Case)'!Z31)*AA145</f>
        <v>-124.00849600531738</v>
      </c>
      <c r="AB22" s="173">
        <f t="shared" si="52"/>
        <v>-487.07544402126962</v>
      </c>
      <c r="AC22" s="104">
        <f>-('BS (Bull-Case)'!AA28+'BS (Bull-Case)'!AA31)*AC145</f>
        <v>-125.50158600531738</v>
      </c>
      <c r="AD22" s="104">
        <f>-('BS (Bull-Case)'!AC28+'BS (Bull-Case)'!AC31)*AD145</f>
        <v>-126.99467600531736</v>
      </c>
      <c r="AE22" s="104">
        <f>-('BS (Bull-Case)'!AD28+'BS (Bull-Case)'!AD31)*AE145</f>
        <v>-128.48518435720496</v>
      </c>
      <c r="AF22" s="104">
        <f>-('BS (Bull-Case)'!AE28+'BS (Bull-Case)'!AE31)*AF145</f>
        <v>-129.97824435720494</v>
      </c>
      <c r="AG22" s="173">
        <f t="shared" si="53"/>
        <v>-510.95969072504465</v>
      </c>
      <c r="AH22" s="104">
        <f>-('BS (Bull-Case)'!AF28+'BS (Bull-Case)'!AF31)*AH145</f>
        <v>-132.35185372800854</v>
      </c>
      <c r="AI22" s="104">
        <f>-('BS (Bull-Case)'!AH28+'BS (Bull-Case)'!AH31)*AI145</f>
        <v>-133.85491372800854</v>
      </c>
      <c r="AJ22" s="104">
        <f>-('BS (Bull-Case)'!AI28+'BS (Bull-Case)'!AI31)*AJ145</f>
        <v>-135.35797372800852</v>
      </c>
      <c r="AK22" s="104">
        <f>-('BS (Bull-Case)'!AJ28+'BS (Bull-Case)'!AJ31)*AK145</f>
        <v>-171.68621397816898</v>
      </c>
      <c r="AL22" s="173">
        <f t="shared" si="54"/>
        <v>-573.2509551621946</v>
      </c>
      <c r="AM22" s="104">
        <f>-('BS (Bull-Case)'!AK28+'BS (Bull-Case)'!AK31)*AM145</f>
        <v>-171.68621397816898</v>
      </c>
      <c r="AN22" s="104">
        <f>-('BS (Bull-Case)'!AM28+'BS (Bull-Case)'!AM31)*AN145</f>
        <v>-171.68621397816898</v>
      </c>
      <c r="AO22" s="104">
        <f>-('BS (Bull-Case)'!AN28+'BS (Bull-Case)'!AN31)*AO145</f>
        <v>-171.68621397816898</v>
      </c>
      <c r="AP22" s="104">
        <f>-('BS (Bull-Case)'!AO28+'BS (Bull-Case)'!AO31)*AP145</f>
        <v>-171.68621397816898</v>
      </c>
      <c r="AQ22" s="173">
        <f t="shared" si="55"/>
        <v>-686.74485591267592</v>
      </c>
      <c r="AR22" s="104">
        <f>-('BS (Bull-Case)'!AP28+'BS (Bull-Case)'!AP31)*AR145</f>
        <v>-171.68621397816898</v>
      </c>
      <c r="AS22" s="104">
        <f>-('BS (Bull-Case)'!AR28+'BS (Bull-Case)'!AR31)*AS145</f>
        <v>-171.68621397816898</v>
      </c>
      <c r="AT22" s="104">
        <f>-('BS (Bull-Case)'!AS28+'BS (Bull-Case)'!AS31)*AT145</f>
        <v>-171.68621397816898</v>
      </c>
      <c r="AU22" s="104">
        <f>-('BS (Bull-Case)'!AT28+'BS (Bull-Case)'!AT31)*AU145</f>
        <v>-171.68621397816898</v>
      </c>
      <c r="AV22" s="173">
        <f t="shared" si="56"/>
        <v>-686.74485591267592</v>
      </c>
    </row>
    <row r="23" spans="1:48" x14ac:dyDescent="0.3">
      <c r="B23" s="463" t="s">
        <v>11</v>
      </c>
      <c r="C23" s="464"/>
      <c r="D23" s="103">
        <f t="shared" ref="D23:AV23" si="58">D17+D21+D22+D20</f>
        <v>965.50000000000045</v>
      </c>
      <c r="E23" s="103">
        <f t="shared" si="58"/>
        <v>819.99999999999966</v>
      </c>
      <c r="F23" s="103">
        <f t="shared" si="58"/>
        <v>1676.900000000001</v>
      </c>
      <c r="G23" s="103">
        <f t="shared" si="58"/>
        <v>1003.8000000000011</v>
      </c>
      <c r="H23" s="171">
        <f t="shared" si="58"/>
        <v>4466.2000000000053</v>
      </c>
      <c r="I23" s="103">
        <f t="shared" si="58"/>
        <v>1143.7999999999988</v>
      </c>
      <c r="J23" s="103">
        <f t="shared" si="58"/>
        <v>390.19999999999908</v>
      </c>
      <c r="K23" s="103">
        <f t="shared" si="58"/>
        <v>-811.9999999999992</v>
      </c>
      <c r="L23" s="50">
        <f t="shared" si="58"/>
        <v>442.40000000000043</v>
      </c>
      <c r="M23" s="51">
        <f t="shared" si="58"/>
        <v>1164.4000000000044</v>
      </c>
      <c r="N23" s="50">
        <f t="shared" si="58"/>
        <v>808.30000000000018</v>
      </c>
      <c r="O23" s="103">
        <f t="shared" si="58"/>
        <v>889.9</v>
      </c>
      <c r="P23" s="103">
        <f t="shared" si="58"/>
        <v>1411.2999999999988</v>
      </c>
      <c r="Q23" s="103">
        <f>Q17+Q21+Q22+Q20</f>
        <v>2247.6</v>
      </c>
      <c r="R23" s="171">
        <f t="shared" si="58"/>
        <v>5357.0999999999976</v>
      </c>
      <c r="S23" s="50">
        <f t="shared" si="58"/>
        <v>1062.4000000000001</v>
      </c>
      <c r="T23" s="50">
        <f t="shared" si="58"/>
        <v>876.10000000000014</v>
      </c>
      <c r="U23" s="50">
        <f t="shared" si="58"/>
        <v>1192.1999999999996</v>
      </c>
      <c r="V23" s="50">
        <f t="shared" si="58"/>
        <v>1008.4894794764914</v>
      </c>
      <c r="W23" s="171">
        <f t="shared" si="58"/>
        <v>4139.189479476483</v>
      </c>
      <c r="X23" s="50">
        <f t="shared" si="58"/>
        <v>1086.5466694990639</v>
      </c>
      <c r="Y23" s="50">
        <f t="shared" si="58"/>
        <v>1057.794386061347</v>
      </c>
      <c r="Z23" s="50">
        <f t="shared" si="58"/>
        <v>1365.1541222547692</v>
      </c>
      <c r="AA23" s="50">
        <f t="shared" si="58"/>
        <v>1455.4343004032285</v>
      </c>
      <c r="AB23" s="51">
        <f t="shared" si="58"/>
        <v>4964.9294782184124</v>
      </c>
      <c r="AC23" s="50">
        <f t="shared" si="58"/>
        <v>1528.3269544978914</v>
      </c>
      <c r="AD23" s="50">
        <f t="shared" si="58"/>
        <v>1261.4444493955868</v>
      </c>
      <c r="AE23" s="50">
        <f t="shared" si="58"/>
        <v>1574.3378271104666</v>
      </c>
      <c r="AF23" s="50">
        <f t="shared" si="58"/>
        <v>1550.561988273929</v>
      </c>
      <c r="AG23" s="51">
        <f t="shared" si="58"/>
        <v>5914.6712192778705</v>
      </c>
      <c r="AH23" s="50">
        <f t="shared" si="58"/>
        <v>1837.995652244949</v>
      </c>
      <c r="AI23" s="50">
        <f t="shared" si="58"/>
        <v>1539.0712101867193</v>
      </c>
      <c r="AJ23" s="50">
        <f t="shared" si="58"/>
        <v>1971.9393888027973</v>
      </c>
      <c r="AK23" s="50">
        <f t="shared" si="58"/>
        <v>1852.5122784144842</v>
      </c>
      <c r="AL23" s="51">
        <f t="shared" si="58"/>
        <v>7201.5185296489526</v>
      </c>
      <c r="AM23" s="50">
        <f t="shared" si="58"/>
        <v>2013.5649201644335</v>
      </c>
      <c r="AN23" s="50">
        <f t="shared" si="58"/>
        <v>1674.0154347927339</v>
      </c>
      <c r="AO23" s="50">
        <f t="shared" si="58"/>
        <v>2125.5026278536648</v>
      </c>
      <c r="AP23" s="50">
        <f t="shared" si="58"/>
        <v>2021.7830109387107</v>
      </c>
      <c r="AQ23" s="51">
        <f t="shared" si="58"/>
        <v>7834.8659937495295</v>
      </c>
      <c r="AR23" s="50">
        <f t="shared" si="58"/>
        <v>2162.9470224484899</v>
      </c>
      <c r="AS23" s="50">
        <f t="shared" si="58"/>
        <v>1802.0702053152891</v>
      </c>
      <c r="AT23" s="50">
        <f t="shared" si="58"/>
        <v>2280.9954369587927</v>
      </c>
      <c r="AU23" s="50">
        <f t="shared" si="58"/>
        <v>2174.2980417238327</v>
      </c>
      <c r="AV23" s="51">
        <f t="shared" si="58"/>
        <v>8420.3107064464166</v>
      </c>
    </row>
    <row r="24" spans="1:48" ht="16.2" x14ac:dyDescent="0.45">
      <c r="B24" s="465" t="s">
        <v>5</v>
      </c>
      <c r="C24" s="466"/>
      <c r="D24" s="104">
        <v>205.1</v>
      </c>
      <c r="E24" s="104">
        <v>161.19999999999999</v>
      </c>
      <c r="F24" s="104">
        <v>303.7</v>
      </c>
      <c r="G24" s="104">
        <f t="shared" ref="G24" si="59">H24-F24-E24-D24</f>
        <v>201.60000000000011</v>
      </c>
      <c r="H24" s="173">
        <v>871.6</v>
      </c>
      <c r="I24" s="104">
        <v>258.5</v>
      </c>
      <c r="J24" s="104">
        <v>65.400000000000006</v>
      </c>
      <c r="K24" s="104">
        <v>-133.9</v>
      </c>
      <c r="L24" s="52">
        <v>49.7</v>
      </c>
      <c r="M24" s="53">
        <f>SUM(I24:L24)</f>
        <v>239.7</v>
      </c>
      <c r="N24" s="52">
        <v>186.1</v>
      </c>
      <c r="O24" s="104">
        <v>230.5</v>
      </c>
      <c r="P24" s="104">
        <v>257.10000000000002</v>
      </c>
      <c r="Q24" s="104">
        <v>483</v>
      </c>
      <c r="R24" s="173">
        <f>SUM(N24:Q24)</f>
        <v>1156.7</v>
      </c>
      <c r="S24" s="52">
        <v>246.3</v>
      </c>
      <c r="T24" s="52">
        <v>201.1</v>
      </c>
      <c r="U24" s="52">
        <v>278.5</v>
      </c>
      <c r="V24" s="52">
        <f>+V23*V143</f>
        <v>242.03747507435793</v>
      </c>
      <c r="W24" s="173">
        <f>SUM(S24:V24)</f>
        <v>967.93747507435796</v>
      </c>
      <c r="X24" s="52">
        <f>+X23*X143</f>
        <v>266.20393402727063</v>
      </c>
      <c r="Y24" s="52">
        <f>+Y23*Y143</f>
        <v>259.15962458503003</v>
      </c>
      <c r="Z24" s="52">
        <f>+Z23*Z143</f>
        <v>334.46275995241842</v>
      </c>
      <c r="AA24" s="52">
        <f>+AA23*AA143</f>
        <v>356.58140359879098</v>
      </c>
      <c r="AB24" s="53">
        <f>SUM(X24:AA24)</f>
        <v>1216.4077221635102</v>
      </c>
      <c r="AC24" s="52">
        <f>+AC23*AC143</f>
        <v>374.44010385198339</v>
      </c>
      <c r="AD24" s="52">
        <f>+AD23*AD143</f>
        <v>309.0538901019188</v>
      </c>
      <c r="AE24" s="52">
        <f>+AE23*AE143</f>
        <v>385.71276764206431</v>
      </c>
      <c r="AF24" s="52">
        <f>+AF23*AF143</f>
        <v>379.8876871271126</v>
      </c>
      <c r="AG24" s="53">
        <f>SUM(AC24:AF24)</f>
        <v>1449.094448723079</v>
      </c>
      <c r="AH24" s="52">
        <f>+AH23*AH143</f>
        <v>450.30893480001248</v>
      </c>
      <c r="AI24" s="52">
        <f>+AI23*AI143</f>
        <v>377.07244649574625</v>
      </c>
      <c r="AJ24" s="52">
        <f>+AJ23*AJ143</f>
        <v>483.12515025668534</v>
      </c>
      <c r="AK24" s="52">
        <f>+AK23*AK143</f>
        <v>453.86550821154862</v>
      </c>
      <c r="AL24" s="53">
        <f>SUM(AH24:AK24)</f>
        <v>1764.3720397639927</v>
      </c>
      <c r="AM24" s="52">
        <f>+AM23*AM143</f>
        <v>493.32340544028619</v>
      </c>
      <c r="AN24" s="52">
        <f>+AN23*AN143</f>
        <v>410.13378152421978</v>
      </c>
      <c r="AO24" s="52">
        <f>+AO23*AO143</f>
        <v>520.74814382414786</v>
      </c>
      <c r="AP24" s="52">
        <f>+AP23*AP143</f>
        <v>495.33683767998411</v>
      </c>
      <c r="AQ24" s="53">
        <f>SUM(AM24:AP24)</f>
        <v>1919.542168468638</v>
      </c>
      <c r="AR24" s="52">
        <f>+AR23*AR143</f>
        <v>529.92202049987998</v>
      </c>
      <c r="AS24" s="52">
        <f>+AS23*AS143</f>
        <v>441.50720030224579</v>
      </c>
      <c r="AT24" s="52">
        <f>+AT23*AT143</f>
        <v>558.84388205490416</v>
      </c>
      <c r="AU24" s="52">
        <f>+AU23*AU143</f>
        <v>532.70302022233898</v>
      </c>
      <c r="AV24" s="53">
        <f>SUM(AR24:AU24)</f>
        <v>2062.9761230793688</v>
      </c>
    </row>
    <row r="25" spans="1:48" x14ac:dyDescent="0.3">
      <c r="A25" s="23"/>
      <c r="B25" s="463" t="s">
        <v>39</v>
      </c>
      <c r="C25" s="464"/>
      <c r="D25" s="103">
        <f t="shared" ref="D25:AV25" si="60">+D23-D24</f>
        <v>760.40000000000043</v>
      </c>
      <c r="E25" s="103">
        <f t="shared" si="60"/>
        <v>658.79999999999973</v>
      </c>
      <c r="F25" s="103">
        <f t="shared" si="60"/>
        <v>1373.200000000001</v>
      </c>
      <c r="G25" s="103">
        <f t="shared" si="60"/>
        <v>802.20000000000095</v>
      </c>
      <c r="H25" s="171">
        <f t="shared" si="60"/>
        <v>3594.6000000000054</v>
      </c>
      <c r="I25" s="103">
        <f t="shared" si="60"/>
        <v>885.29999999999882</v>
      </c>
      <c r="J25" s="103">
        <f t="shared" si="60"/>
        <v>324.79999999999905</v>
      </c>
      <c r="K25" s="103">
        <f t="shared" si="60"/>
        <v>-678.09999999999923</v>
      </c>
      <c r="L25" s="50">
        <f t="shared" si="60"/>
        <v>392.70000000000044</v>
      </c>
      <c r="M25" s="51">
        <f t="shared" si="60"/>
        <v>924.70000000000437</v>
      </c>
      <c r="N25" s="50">
        <f t="shared" si="60"/>
        <v>622.20000000000016</v>
      </c>
      <c r="O25" s="103">
        <f t="shared" si="60"/>
        <v>659.4</v>
      </c>
      <c r="P25" s="103">
        <f t="shared" si="60"/>
        <v>1154.1999999999989</v>
      </c>
      <c r="Q25" s="103">
        <f>+Q23-Q24</f>
        <v>1764.6</v>
      </c>
      <c r="R25" s="171">
        <f t="shared" si="60"/>
        <v>4200.3999999999978</v>
      </c>
      <c r="S25" s="50">
        <f t="shared" si="60"/>
        <v>816.10000000000014</v>
      </c>
      <c r="T25" s="50">
        <f t="shared" si="60"/>
        <v>675.00000000000011</v>
      </c>
      <c r="U25" s="50">
        <f t="shared" si="60"/>
        <v>913.69999999999959</v>
      </c>
      <c r="V25" s="50">
        <f t="shared" si="60"/>
        <v>766.45200440213353</v>
      </c>
      <c r="W25" s="171">
        <f t="shared" si="60"/>
        <v>3171.2520044021248</v>
      </c>
      <c r="X25" s="50">
        <f t="shared" si="60"/>
        <v>820.34273547179328</v>
      </c>
      <c r="Y25" s="50">
        <f t="shared" si="60"/>
        <v>798.63476147631695</v>
      </c>
      <c r="Z25" s="50">
        <f t="shared" si="60"/>
        <v>1030.6913623023506</v>
      </c>
      <c r="AA25" s="50">
        <f t="shared" si="60"/>
        <v>1098.8528968044375</v>
      </c>
      <c r="AB25" s="51">
        <f t="shared" si="60"/>
        <v>3748.5217560549022</v>
      </c>
      <c r="AC25" s="50">
        <f t="shared" si="60"/>
        <v>1153.886850645908</v>
      </c>
      <c r="AD25" s="50">
        <f t="shared" si="60"/>
        <v>952.39055929366805</v>
      </c>
      <c r="AE25" s="50">
        <f t="shared" si="60"/>
        <v>1188.6250594684022</v>
      </c>
      <c r="AF25" s="103">
        <f t="shared" si="60"/>
        <v>1170.6743011468166</v>
      </c>
      <c r="AG25" s="171">
        <f t="shared" si="60"/>
        <v>4465.5767705547914</v>
      </c>
      <c r="AH25" s="103">
        <f t="shared" si="60"/>
        <v>1387.6867174449367</v>
      </c>
      <c r="AI25" s="103">
        <f t="shared" si="60"/>
        <v>1161.9987636909732</v>
      </c>
      <c r="AJ25" s="103">
        <f t="shared" si="60"/>
        <v>1488.8142385461119</v>
      </c>
      <c r="AK25" s="103">
        <f t="shared" si="60"/>
        <v>1398.6467702029356</v>
      </c>
      <c r="AL25" s="51">
        <f t="shared" si="60"/>
        <v>5437.1464898849599</v>
      </c>
      <c r="AM25" s="103">
        <f t="shared" si="60"/>
        <v>1520.2415147241472</v>
      </c>
      <c r="AN25" s="103">
        <f t="shared" si="60"/>
        <v>1263.8816532685141</v>
      </c>
      <c r="AO25" s="103">
        <f t="shared" si="60"/>
        <v>1604.7544840295168</v>
      </c>
      <c r="AP25" s="103">
        <f t="shared" si="60"/>
        <v>1526.4461732587265</v>
      </c>
      <c r="AQ25" s="51">
        <f t="shared" si="60"/>
        <v>5915.3238252808915</v>
      </c>
      <c r="AR25" s="103">
        <f t="shared" si="60"/>
        <v>1633.0250019486098</v>
      </c>
      <c r="AS25" s="103">
        <f t="shared" si="60"/>
        <v>1360.5630050130433</v>
      </c>
      <c r="AT25" s="103">
        <f t="shared" si="60"/>
        <v>1722.1515549038886</v>
      </c>
      <c r="AU25" s="103">
        <f t="shared" si="60"/>
        <v>1641.5950215014936</v>
      </c>
      <c r="AV25" s="51">
        <f t="shared" si="60"/>
        <v>6357.3345833670483</v>
      </c>
    </row>
    <row r="26" spans="1:48" ht="16.2" x14ac:dyDescent="0.45">
      <c r="A26" s="23"/>
      <c r="B26" s="210" t="s">
        <v>40</v>
      </c>
      <c r="C26" s="201"/>
      <c r="D26" s="104">
        <v>-0.2</v>
      </c>
      <c r="E26" s="104">
        <v>-4.4000000000000004</v>
      </c>
      <c r="F26" s="104">
        <v>0.4</v>
      </c>
      <c r="G26" s="104">
        <f t="shared" ref="G26" si="61">H26-F26-E26-D26</f>
        <v>-0.39999999999999963</v>
      </c>
      <c r="H26" s="173">
        <v>-4.5999999999999996</v>
      </c>
      <c r="I26" s="104">
        <v>-0.4</v>
      </c>
      <c r="J26" s="104">
        <v>-3.6</v>
      </c>
      <c r="K26" s="104">
        <v>0.3</v>
      </c>
      <c r="L26" s="104">
        <v>0.1</v>
      </c>
      <c r="M26" s="173">
        <f>SUM(I26:L26)</f>
        <v>-3.6</v>
      </c>
      <c r="N26" s="104">
        <v>0</v>
      </c>
      <c r="O26" s="104">
        <v>0</v>
      </c>
      <c r="P26" s="104">
        <v>0.8</v>
      </c>
      <c r="Q26" s="104">
        <v>0.2</v>
      </c>
      <c r="R26" s="173">
        <f>SUM(N26:Q26)</f>
        <v>1</v>
      </c>
      <c r="S26" s="104">
        <v>0.2</v>
      </c>
      <c r="T26" s="104">
        <f>AVERAGE(S26,Q26,P26,O26)</f>
        <v>0.30000000000000004</v>
      </c>
      <c r="U26" s="104">
        <v>0.8</v>
      </c>
      <c r="V26" s="104">
        <f>AVERAGE(U26,T26,S26,Q26)</f>
        <v>0.375</v>
      </c>
      <c r="W26" s="173">
        <f>SUM(S26:V26)</f>
        <v>1.675</v>
      </c>
      <c r="X26" s="104">
        <f>AVERAGE(V26,U26,T26,S26)</f>
        <v>0.41875000000000001</v>
      </c>
      <c r="Y26" s="104">
        <f>AVERAGE(X26,V26,U26,T26)</f>
        <v>0.47343750000000001</v>
      </c>
      <c r="Z26" s="104">
        <f>AVERAGE(Y26,X26,V26,U26)</f>
        <v>0.51679687500000004</v>
      </c>
      <c r="AA26" s="104">
        <f>AVERAGE(Z26,Y26,X26,V26)</f>
        <v>0.44599609374999999</v>
      </c>
      <c r="AB26" s="173">
        <f>SUM(X26:AA26)</f>
        <v>1.8549804687500002</v>
      </c>
      <c r="AC26" s="104">
        <f>AVERAGE(AA26,Z26,Y26,X26)</f>
        <v>0.4637451171875</v>
      </c>
      <c r="AD26" s="104">
        <f>AVERAGE(AC26,AA26,Z26,Y26)</f>
        <v>0.47499389648437501</v>
      </c>
      <c r="AE26" s="104">
        <f>AVERAGE(AD26,AC26,AA26,Z26)</f>
        <v>0.47538299560546876</v>
      </c>
      <c r="AF26" s="104">
        <f>AVERAGE(AE26,AD26,AC26,AA26)</f>
        <v>0.46502952575683593</v>
      </c>
      <c r="AG26" s="173">
        <f>SUM(AC26:AF26)</f>
        <v>1.8791515350341796</v>
      </c>
      <c r="AH26" s="104">
        <f>AVERAGE(AF26,AE26,AD26,AC26)</f>
        <v>0.46978788375854491</v>
      </c>
      <c r="AI26" s="104">
        <f>AVERAGE(AH26,AF26,AE26,AD26)</f>
        <v>0.47129857540130615</v>
      </c>
      <c r="AJ26" s="104">
        <f>AVERAGE(AI26,AH26,AF26,AE26)</f>
        <v>0.47037474513053895</v>
      </c>
      <c r="AK26" s="104">
        <f>AVERAGE(AJ26,AI26,AH26,AF26)</f>
        <v>0.4691226825118065</v>
      </c>
      <c r="AL26" s="53">
        <f>SUM(AH26:AK26)</f>
        <v>1.8805838868021965</v>
      </c>
      <c r="AM26" s="104">
        <f>AVERAGE(AK26,AJ26,AI26,AH26)</f>
        <v>0.47014597170054911</v>
      </c>
      <c r="AN26" s="104">
        <f>AVERAGE(AM26,AK26,AJ26,AI26)</f>
        <v>0.47023549368605017</v>
      </c>
      <c r="AO26" s="104">
        <f>AVERAGE(AN26,AM26,AK26,AJ26)</f>
        <v>0.46996972325723618</v>
      </c>
      <c r="AP26" s="104">
        <f>AVERAGE(AO26,AN26,AM26,AK26)</f>
        <v>0.4698684677889105</v>
      </c>
      <c r="AQ26" s="53">
        <f>SUM(AM26:AP26)</f>
        <v>1.880219656432746</v>
      </c>
      <c r="AR26" s="104">
        <f>AVERAGE(AP26,AO26,AN26,AM26)</f>
        <v>0.47005491410818651</v>
      </c>
      <c r="AS26" s="104">
        <f>AVERAGE(AR26,AP26,AO26,AN26)</f>
        <v>0.47003214971009583</v>
      </c>
      <c r="AT26" s="104">
        <f>AVERAGE(AS26,AR26,AP26,AO26)</f>
        <v>0.46998131371610724</v>
      </c>
      <c r="AU26" s="104">
        <f>AVERAGE(AT26,AS26,AR26,AP26)</f>
        <v>0.46998421133082502</v>
      </c>
      <c r="AV26" s="53">
        <f>SUM(AR26:AU26)</f>
        <v>1.8800525888652146</v>
      </c>
    </row>
    <row r="27" spans="1:48" s="8" customFormat="1" x14ac:dyDescent="0.3">
      <c r="A27" s="20"/>
      <c r="B27" s="209" t="s">
        <v>16</v>
      </c>
      <c r="C27" s="202"/>
      <c r="D27" s="103">
        <f t="shared" ref="D27:AV27" si="62">+D25-D26</f>
        <v>760.60000000000048</v>
      </c>
      <c r="E27" s="103">
        <f t="shared" si="62"/>
        <v>663.1999999999997</v>
      </c>
      <c r="F27" s="103">
        <f t="shared" si="62"/>
        <v>1372.8000000000009</v>
      </c>
      <c r="G27" s="103">
        <f t="shared" si="62"/>
        <v>802.60000000000093</v>
      </c>
      <c r="H27" s="171">
        <f t="shared" si="62"/>
        <v>3599.2000000000053</v>
      </c>
      <c r="I27" s="103">
        <f t="shared" si="62"/>
        <v>885.69999999999879</v>
      </c>
      <c r="J27" s="103">
        <f t="shared" si="62"/>
        <v>328.39999999999907</v>
      </c>
      <c r="K27" s="103">
        <f t="shared" si="62"/>
        <v>-678.39999999999918</v>
      </c>
      <c r="L27" s="50">
        <f t="shared" si="62"/>
        <v>392.60000000000042</v>
      </c>
      <c r="M27" s="51">
        <f t="shared" si="62"/>
        <v>928.30000000000439</v>
      </c>
      <c r="N27" s="50">
        <f t="shared" si="62"/>
        <v>622.20000000000016</v>
      </c>
      <c r="O27" s="103">
        <f t="shared" si="62"/>
        <v>659.4</v>
      </c>
      <c r="P27" s="103">
        <f t="shared" si="62"/>
        <v>1153.399999999999</v>
      </c>
      <c r="Q27" s="103">
        <f t="shared" si="62"/>
        <v>1764.3999999999999</v>
      </c>
      <c r="R27" s="171">
        <f t="shared" si="62"/>
        <v>4199.3999999999978</v>
      </c>
      <c r="S27" s="50">
        <f t="shared" si="62"/>
        <v>815.90000000000009</v>
      </c>
      <c r="T27" s="50">
        <f t="shared" si="62"/>
        <v>674.70000000000016</v>
      </c>
      <c r="U27" s="50">
        <f t="shared" si="62"/>
        <v>912.89999999999964</v>
      </c>
      <c r="V27" s="50">
        <f t="shared" si="62"/>
        <v>766.07700440213353</v>
      </c>
      <c r="W27" s="171">
        <f t="shared" si="62"/>
        <v>3169.5770044021247</v>
      </c>
      <c r="X27" s="50">
        <f t="shared" si="62"/>
        <v>819.92398547179323</v>
      </c>
      <c r="Y27" s="50">
        <f t="shared" si="62"/>
        <v>798.16132397631691</v>
      </c>
      <c r="Z27" s="50">
        <f t="shared" si="62"/>
        <v>1030.1745654273507</v>
      </c>
      <c r="AA27" s="50">
        <f t="shared" si="62"/>
        <v>1098.4069007106875</v>
      </c>
      <c r="AB27" s="51">
        <f t="shared" si="62"/>
        <v>3746.6667755861522</v>
      </c>
      <c r="AC27" s="50">
        <f t="shared" si="62"/>
        <v>1153.4231055287205</v>
      </c>
      <c r="AD27" s="50">
        <f t="shared" si="62"/>
        <v>951.91556539718363</v>
      </c>
      <c r="AE27" s="50">
        <f t="shared" si="62"/>
        <v>1188.1496764727967</v>
      </c>
      <c r="AF27" s="50">
        <f t="shared" si="62"/>
        <v>1170.2092716210598</v>
      </c>
      <c r="AG27" s="51">
        <f t="shared" si="62"/>
        <v>4463.6976190197574</v>
      </c>
      <c r="AH27" s="50">
        <f t="shared" si="62"/>
        <v>1387.2169295611782</v>
      </c>
      <c r="AI27" s="50">
        <f t="shared" si="62"/>
        <v>1161.5274651155719</v>
      </c>
      <c r="AJ27" s="50">
        <f t="shared" si="62"/>
        <v>1488.3438638009814</v>
      </c>
      <c r="AK27" s="50">
        <f t="shared" si="62"/>
        <v>1398.1776475204238</v>
      </c>
      <c r="AL27" s="51">
        <f t="shared" si="62"/>
        <v>5435.2659059981579</v>
      </c>
      <c r="AM27" s="50">
        <f t="shared" si="62"/>
        <v>1519.7713687524467</v>
      </c>
      <c r="AN27" s="50">
        <f t="shared" si="62"/>
        <v>1263.4114177748281</v>
      </c>
      <c r="AO27" s="50">
        <f t="shared" si="62"/>
        <v>1604.2845143062596</v>
      </c>
      <c r="AP27" s="50">
        <f t="shared" si="62"/>
        <v>1525.9763047909375</v>
      </c>
      <c r="AQ27" s="51">
        <f t="shared" si="62"/>
        <v>5913.4436056244585</v>
      </c>
      <c r="AR27" s="50">
        <f t="shared" si="62"/>
        <v>1632.5549470345015</v>
      </c>
      <c r="AS27" s="50">
        <f t="shared" si="62"/>
        <v>1360.0929728633332</v>
      </c>
      <c r="AT27" s="50">
        <f t="shared" si="62"/>
        <v>1721.6815735901725</v>
      </c>
      <c r="AU27" s="50">
        <f t="shared" si="62"/>
        <v>1641.1250372901627</v>
      </c>
      <c r="AV27" s="51">
        <f t="shared" si="62"/>
        <v>6355.4545307781827</v>
      </c>
    </row>
    <row r="28" spans="1:48" s="8" customFormat="1" ht="16.2" x14ac:dyDescent="0.45">
      <c r="A28" s="20"/>
      <c r="B28" s="87" t="s">
        <v>72</v>
      </c>
      <c r="C28" s="84"/>
      <c r="D28" s="109">
        <f t="shared" ref="D28:AA28" si="63">-D171-D172</f>
        <v>41.449999999998646</v>
      </c>
      <c r="E28" s="109">
        <f t="shared" si="63"/>
        <v>-54.179999999999545</v>
      </c>
      <c r="F28" s="109">
        <f t="shared" si="63"/>
        <v>-544.16000000000076</v>
      </c>
      <c r="G28" s="109">
        <f t="shared" si="63"/>
        <v>-30</v>
      </c>
      <c r="H28" s="178">
        <f>SUM(D28:G28)</f>
        <v>-586.89000000000169</v>
      </c>
      <c r="I28" s="109">
        <f t="shared" si="63"/>
        <v>-11</v>
      </c>
      <c r="J28" s="109">
        <f t="shared" si="63"/>
        <v>-23</v>
      </c>
      <c r="K28" s="109">
        <f t="shared" si="63"/>
        <v>-35.055</v>
      </c>
      <c r="L28" s="91">
        <f>-L171-L172</f>
        <v>-50.810000000000372</v>
      </c>
      <c r="M28" s="92">
        <f>SUM(I28:L28)</f>
        <v>-119.86500000000038</v>
      </c>
      <c r="N28" s="109">
        <f t="shared" si="63"/>
        <v>-35.49</v>
      </c>
      <c r="O28" s="109">
        <f t="shared" si="63"/>
        <v>-11.847999999999999</v>
      </c>
      <c r="P28" s="109">
        <f t="shared" si="63"/>
        <v>-11.862</v>
      </c>
      <c r="Q28" s="109">
        <f t="shared" si="63"/>
        <v>-696.10940000000005</v>
      </c>
      <c r="R28" s="178">
        <f>SUM(N28:Q28)</f>
        <v>-755.3094000000001</v>
      </c>
      <c r="S28" s="91">
        <f t="shared" si="63"/>
        <v>-3.9480000000003299</v>
      </c>
      <c r="T28" s="91">
        <f t="shared" si="63"/>
        <v>-46.156000000000006</v>
      </c>
      <c r="U28" s="91">
        <f t="shared" si="63"/>
        <v>-23.02</v>
      </c>
      <c r="V28" s="91">
        <f t="shared" si="63"/>
        <v>-33.861677419354834</v>
      </c>
      <c r="W28" s="178">
        <f>SUM(S28:V28)</f>
        <v>-106.98567741935517</v>
      </c>
      <c r="X28" s="91">
        <f t="shared" si="63"/>
        <v>-33.861677419354834</v>
      </c>
      <c r="Y28" s="91">
        <f t="shared" si="63"/>
        <v>-19.010064516129031</v>
      </c>
      <c r="Z28" s="91">
        <f t="shared" si="63"/>
        <v>-19.010064516129031</v>
      </c>
      <c r="AA28" s="91">
        <f t="shared" si="63"/>
        <v>-19.010064516129031</v>
      </c>
      <c r="AB28" s="92">
        <f>SUM(X28:AA28)</f>
        <v>-90.891870967741937</v>
      </c>
      <c r="AC28" s="91">
        <f t="shared" ref="AC28:AF28" si="64">-AC171-AC172</f>
        <v>-19.010064516129031</v>
      </c>
      <c r="AD28" s="91">
        <f t="shared" si="64"/>
        <v>-19.010064516129031</v>
      </c>
      <c r="AE28" s="91">
        <f t="shared" si="64"/>
        <v>-19.010064516129031</v>
      </c>
      <c r="AF28" s="91">
        <f t="shared" si="64"/>
        <v>-19.010064516129031</v>
      </c>
      <c r="AG28" s="92">
        <f>SUM(AC28:AF28)</f>
        <v>-76.040258064516124</v>
      </c>
      <c r="AH28" s="91">
        <f t="shared" ref="AH28:AK28" si="65">-AH171-AH172</f>
        <v>-19.010064516129031</v>
      </c>
      <c r="AI28" s="91">
        <f t="shared" si="65"/>
        <v>-19.010064516129031</v>
      </c>
      <c r="AJ28" s="91">
        <f t="shared" si="65"/>
        <v>-19.010064516129031</v>
      </c>
      <c r="AK28" s="91">
        <f t="shared" si="65"/>
        <v>-19.010064516129031</v>
      </c>
      <c r="AL28" s="92">
        <f>SUM(AH28:AK28)</f>
        <v>-76.040258064516124</v>
      </c>
      <c r="AM28" s="91">
        <f t="shared" ref="AM28:AP28" si="66">-AM171-AM172</f>
        <v>-19.010064516129031</v>
      </c>
      <c r="AN28" s="91">
        <f t="shared" si="66"/>
        <v>-19.010064516129031</v>
      </c>
      <c r="AO28" s="91">
        <f t="shared" si="66"/>
        <v>-19.010064516129031</v>
      </c>
      <c r="AP28" s="91">
        <f t="shared" si="66"/>
        <v>-19.010064516129031</v>
      </c>
      <c r="AQ28" s="92">
        <f>SUM(AM28:AP28)</f>
        <v>-76.040258064516124</v>
      </c>
      <c r="AR28" s="91">
        <f t="shared" ref="AR28:AU28" si="67">-AR171-AR172</f>
        <v>-19.010064516129031</v>
      </c>
      <c r="AS28" s="91">
        <f t="shared" si="67"/>
        <v>-19.010064516129031</v>
      </c>
      <c r="AT28" s="91">
        <f t="shared" si="67"/>
        <v>-19.010064516129031</v>
      </c>
      <c r="AU28" s="91">
        <f t="shared" si="67"/>
        <v>-19.010064516129031</v>
      </c>
      <c r="AV28" s="92">
        <f>SUM(AR28:AU28)</f>
        <v>-76.040258064516124</v>
      </c>
    </row>
    <row r="29" spans="1:48" s="8" customFormat="1" x14ac:dyDescent="0.3">
      <c r="A29" s="20"/>
      <c r="B29" s="85" t="s">
        <v>73</v>
      </c>
      <c r="C29" s="86"/>
      <c r="D29" s="108">
        <f t="shared" ref="D29:AV29" si="68">+D19+D20+D21+D22-D24-D26+D28</f>
        <v>940.04999999999916</v>
      </c>
      <c r="E29" s="108">
        <f t="shared" si="68"/>
        <v>750.42000000000007</v>
      </c>
      <c r="F29" s="108">
        <f t="shared" si="68"/>
        <v>953.94</v>
      </c>
      <c r="G29" s="108">
        <f t="shared" si="68"/>
        <v>850.00000000000102</v>
      </c>
      <c r="H29" s="177">
        <f t="shared" si="68"/>
        <v>3494.4100000000039</v>
      </c>
      <c r="I29" s="108">
        <f t="shared" si="68"/>
        <v>946.2999999999987</v>
      </c>
      <c r="J29" s="108">
        <f t="shared" si="68"/>
        <v>372.19999999999902</v>
      </c>
      <c r="K29" s="108">
        <f t="shared" si="68"/>
        <v>-539.7749999999993</v>
      </c>
      <c r="L29" s="80">
        <f>+L19+L20+L21+L22-L24-L26+L28</f>
        <v>601.29</v>
      </c>
      <c r="M29" s="81">
        <f t="shared" si="68"/>
        <v>1380.0150000000035</v>
      </c>
      <c r="N29" s="108">
        <f t="shared" si="68"/>
        <v>721.61000000000024</v>
      </c>
      <c r="O29" s="108">
        <f t="shared" si="68"/>
        <v>735.75199999999995</v>
      </c>
      <c r="P29" s="108">
        <f t="shared" si="68"/>
        <v>1193.2379999999987</v>
      </c>
      <c r="Q29" s="108">
        <f t="shared" si="68"/>
        <v>1183.4905999999996</v>
      </c>
      <c r="R29" s="177">
        <f t="shared" si="68"/>
        <v>3834.0905999999977</v>
      </c>
      <c r="S29" s="80">
        <f t="shared" si="68"/>
        <v>847.15199999999982</v>
      </c>
      <c r="T29" s="80">
        <f t="shared" si="68"/>
        <v>676.04400000000032</v>
      </c>
      <c r="U29" s="80">
        <f t="shared" si="68"/>
        <v>967.37999999999965</v>
      </c>
      <c r="V29" s="80">
        <f t="shared" si="68"/>
        <v>846.21532698277872</v>
      </c>
      <c r="W29" s="177">
        <f t="shared" si="68"/>
        <v>3336.7913269827695</v>
      </c>
      <c r="X29" s="80">
        <f t="shared" si="68"/>
        <v>900.06230805243842</v>
      </c>
      <c r="Y29" s="80">
        <f t="shared" si="68"/>
        <v>843.15125946018793</v>
      </c>
      <c r="Z29" s="80">
        <f t="shared" si="68"/>
        <v>1075.1645009112217</v>
      </c>
      <c r="AA29" s="80">
        <f t="shared" si="68"/>
        <v>1143.3968361945585</v>
      </c>
      <c r="AB29" s="81">
        <f t="shared" si="68"/>
        <v>3961.7749046184103</v>
      </c>
      <c r="AC29" s="80">
        <f t="shared" si="68"/>
        <v>1198.4130410125915</v>
      </c>
      <c r="AD29" s="80">
        <f t="shared" si="68"/>
        <v>996.90550088105465</v>
      </c>
      <c r="AE29" s="80">
        <f t="shared" si="68"/>
        <v>1233.1396119566677</v>
      </c>
      <c r="AF29" s="80">
        <f t="shared" si="68"/>
        <v>1215.1992071049308</v>
      </c>
      <c r="AG29" s="81">
        <f t="shared" si="68"/>
        <v>4643.6573609552415</v>
      </c>
      <c r="AH29" s="80">
        <f t="shared" si="68"/>
        <v>1432.2068650450492</v>
      </c>
      <c r="AI29" s="80">
        <f t="shared" si="68"/>
        <v>1206.5174005994429</v>
      </c>
      <c r="AJ29" s="80">
        <f t="shared" si="68"/>
        <v>1533.3337992848524</v>
      </c>
      <c r="AK29" s="80">
        <f t="shared" si="68"/>
        <v>1443.1675830042946</v>
      </c>
      <c r="AL29" s="81">
        <f t="shared" si="68"/>
        <v>5615.225647933642</v>
      </c>
      <c r="AM29" s="80">
        <f t="shared" si="68"/>
        <v>1564.761304236318</v>
      </c>
      <c r="AN29" s="80">
        <f t="shared" si="68"/>
        <v>1308.4013532586991</v>
      </c>
      <c r="AO29" s="80">
        <f t="shared" si="68"/>
        <v>1649.2744497901306</v>
      </c>
      <c r="AP29" s="80">
        <f t="shared" si="68"/>
        <v>1570.966240274809</v>
      </c>
      <c r="AQ29" s="81">
        <f t="shared" si="68"/>
        <v>6093.4033475599426</v>
      </c>
      <c r="AR29" s="80">
        <f t="shared" si="68"/>
        <v>1677.5448825183726</v>
      </c>
      <c r="AS29" s="80">
        <f t="shared" si="68"/>
        <v>1405.0829083472042</v>
      </c>
      <c r="AT29" s="80">
        <f t="shared" si="68"/>
        <v>1766.6715090740436</v>
      </c>
      <c r="AU29" s="80">
        <f t="shared" si="68"/>
        <v>1686.1149727740337</v>
      </c>
      <c r="AV29" s="81">
        <f t="shared" si="68"/>
        <v>6535.4142727136668</v>
      </c>
    </row>
    <row r="30" spans="1:48" x14ac:dyDescent="0.3">
      <c r="B30" s="435" t="s">
        <v>0</v>
      </c>
      <c r="C30" s="436"/>
      <c r="D30" s="101">
        <v>1242</v>
      </c>
      <c r="E30" s="101">
        <v>1239.2</v>
      </c>
      <c r="F30" s="101">
        <v>1211</v>
      </c>
      <c r="G30" s="101">
        <v>1210.7904210526317</v>
      </c>
      <c r="H30" s="169">
        <v>1221.2</v>
      </c>
      <c r="I30" s="101">
        <v>1180.4000000000001</v>
      </c>
      <c r="J30" s="101">
        <v>1171.8</v>
      </c>
      <c r="K30" s="101">
        <v>1168.5</v>
      </c>
      <c r="L30" s="101">
        <v>1167.3874645009873</v>
      </c>
      <c r="M30" s="17">
        <f>+(I27/M27*I30)+(J27/M27*J30)+(K27/M27*K30)+(L27/M27*L30)</f>
        <v>1180.550811766758</v>
      </c>
      <c r="N30" s="101">
        <v>1175</v>
      </c>
      <c r="O30" s="101">
        <v>1177.5</v>
      </c>
      <c r="P30" s="101">
        <v>1178.5</v>
      </c>
      <c r="Q30" s="101">
        <v>1179.5008492569002</v>
      </c>
      <c r="R30" s="169">
        <f>+(N27/R27*N30)+(O27/R27*O30)+(P27/R27*P30)+(Q27/R27*Q30)</f>
        <v>1178.2449155662418</v>
      </c>
      <c r="S30" s="16">
        <v>1169.5999999999999</v>
      </c>
      <c r="T30" s="16">
        <v>1149.2</v>
      </c>
      <c r="U30" s="16">
        <v>1147</v>
      </c>
      <c r="V30" s="16">
        <f>U30*(1+V151)-V155-V158-V161</f>
        <v>1149.2940000000001</v>
      </c>
      <c r="W30" s="169">
        <f>+(S27/W27*S30)+(T27/W27*T30)+(U27/W27*U30)+(V27/W27*V30)</f>
        <v>1153.840364066876</v>
      </c>
      <c r="X30" s="16">
        <f>V30*(1+X151)-X155-X158-X161</f>
        <v>1151.5925880000002</v>
      </c>
      <c r="Y30" s="16">
        <f>X30*(1+Y151)-Y155-Y158-Y161</f>
        <v>1153.8957731760001</v>
      </c>
      <c r="Z30" s="16">
        <f>Y30*(1+Z151)-Z155-Z158-Z161</f>
        <v>1156.2035647223522</v>
      </c>
      <c r="AA30" s="16">
        <f>Z30*(1+AA151)-AA155-AA158-AA161</f>
        <v>1158.5159718517968</v>
      </c>
      <c r="AB30" s="17">
        <f>+(X27/AB27*X30)+(Y27/AB27*Y30)+(Z27/AB27*Z30)+(AA27/AB27*AA30)</f>
        <v>1155.38078634263</v>
      </c>
      <c r="AC30" s="16">
        <f>AA30*(1+AC151)-AC155-AC158-AC161</f>
        <v>1160.8330037955004</v>
      </c>
      <c r="AD30" s="16">
        <f>AC30*(1+AD151)-AD155-AD158-AD161</f>
        <v>1163.1546698030913</v>
      </c>
      <c r="AE30" s="16">
        <f>AD30*(1+AE151)-AE155-AE158-AE161</f>
        <v>1164.5780130118285</v>
      </c>
      <c r="AF30" s="16">
        <f>AE30*(1+AF151)-AF155-AF158-AF161</f>
        <v>1166.004202906983</v>
      </c>
      <c r="AG30" s="17">
        <f>+(AC27/AG27*AC30)+(AD27/AG27*AD30)+(AE27/AG27*AE30)+(AF27/AG27*AF30)</f>
        <v>1163.6806533743036</v>
      </c>
      <c r="AH30" s="16">
        <f>AF30*(1+AH151)-AH155-AH158-AH161</f>
        <v>1167.5051987119971</v>
      </c>
      <c r="AI30" s="16">
        <f>AH30*(1+AI151)-AI155-AI158-AI161</f>
        <v>1169.0091965086212</v>
      </c>
      <c r="AJ30" s="16">
        <f>AI30*(1+AJ151)-AJ155-AJ158-AJ161</f>
        <v>1140.3950375503448</v>
      </c>
      <c r="AK30" s="16">
        <f>AJ30*(1+AK151)-AK155-AK158-AK161</f>
        <v>1111.7236502741519</v>
      </c>
      <c r="AL30" s="17">
        <f>+(AH27/AL27*AH30)+(AI27/AL27*AI30)+(AJ27/AL27*AJ30)+(AK27/AL27*AK30)</f>
        <v>1146.0536591829823</v>
      </c>
      <c r="AM30" s="16">
        <f>AK30*(1+AM151)-AM155-AM158-AM161</f>
        <v>1111.9537304619073</v>
      </c>
      <c r="AN30" s="16">
        <f>AM30*(1+AN151)-AN155-AN158-AN161</f>
        <v>1112.1842708100382</v>
      </c>
      <c r="AO30" s="16">
        <f>AN30*(1+AO151)-AO155-AO158-AO161</f>
        <v>1112.4152722388656</v>
      </c>
      <c r="AP30" s="16">
        <f>AO30*(1+AP151)-AP155-AP158-AP161</f>
        <v>1112.6467356705505</v>
      </c>
      <c r="AQ30" s="17">
        <f>+(AM27/AQ27*AM30)+(AN27/AQ27*AN30)+(AO27/AQ27*AO30)+(AP27/AQ27*AP30)</f>
        <v>1112.3070307215194</v>
      </c>
      <c r="AR30" s="16">
        <f>AP30*(1+AR151)-AR155-AR158-AR161</f>
        <v>1112.9177476587613</v>
      </c>
      <c r="AS30" s="16">
        <f>AR30*(1+AS151)-AS155-AS158-AS161</f>
        <v>1113.1893016709487</v>
      </c>
      <c r="AT30" s="16">
        <f>AS30*(1+AT151)-AT155-AT158-AT161</f>
        <v>1113.4613987911603</v>
      </c>
      <c r="AU30" s="16">
        <f>AT30*(1+AU151)-AU155-AU158-AU161</f>
        <v>1113.7340401056124</v>
      </c>
      <c r="AV30" s="17">
        <f>+(AR27/AV27*AR30)+(AS27/AV27*AS30)+(AT27/AV27*AT30)+(AU27/AV27*AU30)</f>
        <v>1113.3339210103757</v>
      </c>
    </row>
    <row r="31" spans="1:48" ht="15.75" customHeight="1" x14ac:dyDescent="0.3">
      <c r="B31" s="435" t="s">
        <v>1</v>
      </c>
      <c r="C31" s="436"/>
      <c r="D31" s="101">
        <v>1253.4000000000001</v>
      </c>
      <c r="E31" s="101">
        <v>1250.7</v>
      </c>
      <c r="F31" s="101">
        <v>1223</v>
      </c>
      <c r="G31" s="101">
        <v>1222.8144210526316</v>
      </c>
      <c r="H31" s="169">
        <v>1233.2</v>
      </c>
      <c r="I31" s="101">
        <v>1191</v>
      </c>
      <c r="J31" s="101">
        <v>1180.7</v>
      </c>
      <c r="K31" s="101">
        <v>1168.5</v>
      </c>
      <c r="L31" s="101">
        <v>1179</v>
      </c>
      <c r="M31" s="17">
        <f>+(I27/M27*I31)+(J27/M27*J31)+(K27/M27*K31)+(L27/M27*L31)</f>
        <v>1198.7240978132002</v>
      </c>
      <c r="N31" s="101">
        <v>1183</v>
      </c>
      <c r="O31" s="101">
        <v>1184.8</v>
      </c>
      <c r="P31" s="101">
        <v>1186.2</v>
      </c>
      <c r="Q31" s="101">
        <v>1187.9000000000001</v>
      </c>
      <c r="R31" s="169">
        <f>+(N27/R27*N31)+(O27/R27*O31)+(P27/R27*P31)+(Q27/R27*Q31)</f>
        <v>1186.2203076629999</v>
      </c>
      <c r="S31" s="16">
        <v>1176.5999999999999</v>
      </c>
      <c r="T31" s="16">
        <v>1153.9000000000001</v>
      </c>
      <c r="U31" s="16">
        <v>1151</v>
      </c>
      <c r="V31" s="16">
        <f>U31*(1+V152)-V155-V158-V161</f>
        <v>1152.1509999999998</v>
      </c>
      <c r="W31" s="169">
        <f>+(S27/W27*S31)+(T27/W27*T31)+(U27/W27*U31)+(V27/W27*V31)</f>
        <v>1158.4853599073713</v>
      </c>
      <c r="X31" s="16">
        <f>V31*(1+X152)-X155-X158-X161</f>
        <v>1153.3031509999996</v>
      </c>
      <c r="Y31" s="16">
        <f>X31*(1+Y152)-Y155-Y158-Y161</f>
        <v>1154.4564541509994</v>
      </c>
      <c r="Z31" s="16">
        <f>Y31*(1+Z152)-Z155-Z158-Z161</f>
        <v>1155.6109106051504</v>
      </c>
      <c r="AA31" s="16">
        <f>Z31*(1+AA152)-AA155-AA158-AA161</f>
        <v>1156.7665215157554</v>
      </c>
      <c r="AB31" s="17">
        <f>+(X27/AB27*X31)+(Y27/AB27*Y31)+(Z27/AB27*Z31)+(AA27/AB27*AA31)</f>
        <v>1155.1987311831087</v>
      </c>
      <c r="AC31" s="16">
        <f>AA31*(1+AC152)-AC155-AC158-AC161</f>
        <v>1157.923288037271</v>
      </c>
      <c r="AD31" s="16">
        <f>AC31*(1+AD152)-AD155-AD158-AD161</f>
        <v>1159.0812113253082</v>
      </c>
      <c r="AE31" s="16">
        <f>AD31*(1+AE152)-AE155-AE158-AE161</f>
        <v>1159.3373264057643</v>
      </c>
      <c r="AF31" s="16">
        <f>AE31*(1+AF152)-AF155-AF158-AF161</f>
        <v>1159.5936976013008</v>
      </c>
      <c r="AG31" s="17">
        <f>+(AC27/AG27*AC31)+(AD27/AG27*AD31)+(AE27/AG27*AE31)+(AF27/AG27*AF31)</f>
        <v>1158.9845299929348</v>
      </c>
      <c r="AH31" s="16">
        <f>AF31*(1+AH152)-AH155-AH158-AH161</f>
        <v>1159.9222786981022</v>
      </c>
      <c r="AI31" s="16">
        <f>AH31*(1+AI152)-AI155-AI158-AI161</f>
        <v>1160.2511883760003</v>
      </c>
      <c r="AJ31" s="16">
        <f>AI31*(1+AJ152)-AJ155-AJ158-AJ161</f>
        <v>1130.4592622130826</v>
      </c>
      <c r="AK31" s="16">
        <f>AJ31*(1+AK152)-AK155-AK158-AK161</f>
        <v>1100.637544124002</v>
      </c>
      <c r="AL31" s="17">
        <f>+(AH27/AL27*AH31)+(AI27/AL27*AI31)+(AJ27/AL27*AJ31)+(AK27/AL27*AK31)</f>
        <v>1136.6741699438699</v>
      </c>
      <c r="AM31" s="16">
        <f>AK31*(1+AM152)-AM155-AM158-AM161</f>
        <v>1099.7448145553331</v>
      </c>
      <c r="AN31" s="16">
        <f>AM31*(1+AN152)-AN155-AN158-AN161</f>
        <v>1098.8511922570954</v>
      </c>
      <c r="AO31" s="16">
        <f>AN31*(1+AO152)-AO155-AO158-AO161</f>
        <v>1097.9566763365594</v>
      </c>
      <c r="AP31" s="16">
        <f>AO31*(1+AP152)-AP155-AP158-AP161</f>
        <v>1097.0612659001031</v>
      </c>
      <c r="AQ31" s="17">
        <f>+(AM27/AQ27*AM31)+(AN27/AQ27*AN31)+(AO27/AQ27*AO31)+(AP27/AQ27*AP31)</f>
        <v>1098.3762842591259</v>
      </c>
      <c r="AR31" s="16">
        <f>AP31*(1+AR152)-AR155-AR158-AR161</f>
        <v>1096.2040456828729</v>
      </c>
      <c r="AS31" s="16">
        <f>AR31*(1+AS152)-AS155-AS158-AS161</f>
        <v>1095.3459682454254</v>
      </c>
      <c r="AT31" s="16">
        <f>AS31*(1+AT152)-AT155-AT158-AT161</f>
        <v>1094.4870327305405</v>
      </c>
      <c r="AU31" s="16">
        <f>AT31*(1+AU152)-AU155-AU158-AU161</f>
        <v>1093.6272382801408</v>
      </c>
      <c r="AV31" s="17">
        <f>+(AR27/AV27*AR31)+(AS27/AV27*AS31)+(AT27/AV27*AT31)+(AU27/AV27*AU31)</f>
        <v>1094.8898866783584</v>
      </c>
    </row>
    <row r="32" spans="1:48" ht="15.75" customHeight="1" x14ac:dyDescent="0.3">
      <c r="B32" s="445" t="s">
        <v>6</v>
      </c>
      <c r="C32" s="446"/>
      <c r="D32" s="110">
        <f t="shared" ref="D32:AV32" si="69">D27/D30</f>
        <v>0.61239935587761718</v>
      </c>
      <c r="E32" s="110">
        <f t="shared" si="69"/>
        <v>0.53518398967075509</v>
      </c>
      <c r="F32" s="110">
        <f t="shared" si="69"/>
        <v>1.1336085879438487</v>
      </c>
      <c r="G32" s="110">
        <f t="shared" si="69"/>
        <v>0.66287276975832043</v>
      </c>
      <c r="H32" s="174">
        <f t="shared" si="69"/>
        <v>2.947264985260404</v>
      </c>
      <c r="I32" s="110">
        <f t="shared" si="69"/>
        <v>0.75033886818027684</v>
      </c>
      <c r="J32" s="110">
        <f t="shared" si="69"/>
        <v>0.28025260283324721</v>
      </c>
      <c r="K32" s="110">
        <f t="shared" si="69"/>
        <v>-0.58057338468121455</v>
      </c>
      <c r="L32" s="110">
        <f t="shared" si="69"/>
        <v>0.3363065065700544</v>
      </c>
      <c r="M32" s="25">
        <f t="shared" si="69"/>
        <v>0.78632786555858059</v>
      </c>
      <c r="N32" s="110">
        <f t="shared" si="69"/>
        <v>0.52953191489361717</v>
      </c>
      <c r="O32" s="110">
        <f t="shared" si="69"/>
        <v>0.55999999999999994</v>
      </c>
      <c r="P32" s="110">
        <f t="shared" si="69"/>
        <v>0.97870173949936268</v>
      </c>
      <c r="Q32" s="110">
        <f t="shared" si="69"/>
        <v>1.495887011112873</v>
      </c>
      <c r="R32" s="174">
        <f t="shared" si="69"/>
        <v>3.5641146798260079</v>
      </c>
      <c r="S32" s="24">
        <f t="shared" si="69"/>
        <v>0.69758891928864586</v>
      </c>
      <c r="T32" s="24">
        <f t="shared" si="69"/>
        <v>0.58710407239819018</v>
      </c>
      <c r="U32" s="24">
        <f t="shared" si="69"/>
        <v>0.79590235396686981</v>
      </c>
      <c r="V32" s="24">
        <f t="shared" si="69"/>
        <v>0.6665631286704129</v>
      </c>
      <c r="W32" s="174">
        <f t="shared" si="69"/>
        <v>2.7469805209712854</v>
      </c>
      <c r="X32" s="24">
        <f t="shared" si="69"/>
        <v>0.71199137092031461</v>
      </c>
      <c r="Y32" s="24">
        <f t="shared" si="69"/>
        <v>0.69171006821477965</v>
      </c>
      <c r="Z32" s="24">
        <f t="shared" si="69"/>
        <v>0.89099756899187055</v>
      </c>
      <c r="AA32" s="24">
        <f t="shared" si="69"/>
        <v>0.94811545753225168</v>
      </c>
      <c r="AB32" s="25">
        <f t="shared" si="69"/>
        <v>3.2427982357628302</v>
      </c>
      <c r="AC32" s="24">
        <f t="shared" si="69"/>
        <v>0.99361674052809301</v>
      </c>
      <c r="AD32" s="24">
        <f t="shared" si="69"/>
        <v>0.81839121667140957</v>
      </c>
      <c r="AE32" s="24">
        <f t="shared" si="69"/>
        <v>1.020240519052912</v>
      </c>
      <c r="AF32" s="24">
        <f t="shared" si="69"/>
        <v>1.0036063924157332</v>
      </c>
      <c r="AG32" s="25">
        <f t="shared" si="69"/>
        <v>3.8358441433880119</v>
      </c>
      <c r="AH32" s="24">
        <f t="shared" si="69"/>
        <v>1.1881890813775984</v>
      </c>
      <c r="AI32" s="24">
        <f t="shared" si="69"/>
        <v>0.99359993795139134</v>
      </c>
      <c r="AJ32" s="24">
        <f t="shared" si="69"/>
        <v>1.305112539772233</v>
      </c>
      <c r="AK32" s="24">
        <f t="shared" si="69"/>
        <v>1.2576665497541877</v>
      </c>
      <c r="AL32" s="25">
        <f t="shared" si="69"/>
        <v>4.7425928641708976</v>
      </c>
      <c r="AM32" s="24">
        <f t="shared" si="69"/>
        <v>1.3667577410088201</v>
      </c>
      <c r="AN32" s="24">
        <f t="shared" si="69"/>
        <v>1.1359731034989791</v>
      </c>
      <c r="AO32" s="24">
        <f t="shared" si="69"/>
        <v>1.4421633308552568</v>
      </c>
      <c r="AP32" s="24">
        <f t="shared" si="69"/>
        <v>1.3714831993564327</v>
      </c>
      <c r="AQ32" s="25">
        <f t="shared" si="69"/>
        <v>5.3163770814148226</v>
      </c>
      <c r="AR32" s="24">
        <f t="shared" si="69"/>
        <v>1.4669142894602032</v>
      </c>
      <c r="AS32" s="24">
        <f t="shared" si="69"/>
        <v>1.221798458556663</v>
      </c>
      <c r="AT32" s="24">
        <f t="shared" si="69"/>
        <v>1.5462427125532436</v>
      </c>
      <c r="AU32" s="24">
        <f t="shared" si="69"/>
        <v>1.4735340558815453</v>
      </c>
      <c r="AV32" s="25">
        <f t="shared" si="69"/>
        <v>5.7084890802666504</v>
      </c>
    </row>
    <row r="33" spans="2:48" x14ac:dyDescent="0.3">
      <c r="B33" s="445" t="s">
        <v>7</v>
      </c>
      <c r="C33" s="446"/>
      <c r="D33" s="110">
        <f t="shared" ref="D33:AV33" si="70">D27/D31</f>
        <v>0.60682942396681061</v>
      </c>
      <c r="E33" s="110">
        <f t="shared" si="70"/>
        <v>0.53026305269049312</v>
      </c>
      <c r="F33" s="110">
        <f t="shared" si="70"/>
        <v>1.1224856909239582</v>
      </c>
      <c r="G33" s="110">
        <f t="shared" si="70"/>
        <v>0.65635470614510849</v>
      </c>
      <c r="H33" s="174">
        <f t="shared" si="70"/>
        <v>2.9185857930587131</v>
      </c>
      <c r="I33" s="110">
        <f t="shared" si="70"/>
        <v>0.74366078925272783</v>
      </c>
      <c r="J33" s="110">
        <f t="shared" si="70"/>
        <v>0.27814008638942922</v>
      </c>
      <c r="K33" s="110">
        <f t="shared" si="70"/>
        <v>-0.58057338468121455</v>
      </c>
      <c r="L33" s="110">
        <f t="shared" si="70"/>
        <v>0.3329940627650555</v>
      </c>
      <c r="M33" s="174">
        <f t="shared" si="70"/>
        <v>0.7744067226924668</v>
      </c>
      <c r="N33" s="110">
        <f t="shared" si="70"/>
        <v>0.52595097210481845</v>
      </c>
      <c r="O33" s="110">
        <f t="shared" si="70"/>
        <v>0.55654962862930457</v>
      </c>
      <c r="P33" s="110">
        <f t="shared" si="70"/>
        <v>0.97234867644579237</v>
      </c>
      <c r="Q33" s="110">
        <f t="shared" si="70"/>
        <v>1.4853102112972469</v>
      </c>
      <c r="R33" s="174">
        <f t="shared" si="70"/>
        <v>3.5401518359379072</v>
      </c>
      <c r="S33" s="24">
        <f t="shared" si="70"/>
        <v>0.69343872174060861</v>
      </c>
      <c r="T33" s="24">
        <f t="shared" si="70"/>
        <v>0.58471271340670783</v>
      </c>
      <c r="U33" s="24">
        <f t="shared" si="70"/>
        <v>0.79313640312771472</v>
      </c>
      <c r="V33" s="24">
        <f t="shared" si="70"/>
        <v>0.66491024562069867</v>
      </c>
      <c r="W33" s="174">
        <f t="shared" si="70"/>
        <v>2.7359663868825703</v>
      </c>
      <c r="X33" s="24">
        <f t="shared" si="70"/>
        <v>0.71093535534075158</v>
      </c>
      <c r="Y33" s="24">
        <f t="shared" si="70"/>
        <v>0.69137412771735418</v>
      </c>
      <c r="Z33" s="24">
        <f t="shared" si="70"/>
        <v>0.89145451637167972</v>
      </c>
      <c r="AA33" s="24">
        <f t="shared" si="70"/>
        <v>0.94954935181855282</v>
      </c>
      <c r="AB33" s="25">
        <f t="shared" si="70"/>
        <v>3.2433092890856665</v>
      </c>
      <c r="AC33" s="24">
        <f t="shared" si="70"/>
        <v>0.99611357457351213</v>
      </c>
      <c r="AD33" s="24">
        <f t="shared" si="70"/>
        <v>0.82126735909104354</v>
      </c>
      <c r="AE33" s="24">
        <f t="shared" si="70"/>
        <v>1.0248524302726953</v>
      </c>
      <c r="AF33" s="24">
        <f t="shared" si="70"/>
        <v>1.0091545633972641</v>
      </c>
      <c r="AG33" s="25">
        <f t="shared" si="70"/>
        <v>3.8513867126828418</v>
      </c>
      <c r="AH33" s="24">
        <f t="shared" si="70"/>
        <v>1.1959567938622506</v>
      </c>
      <c r="AI33" s="24">
        <f t="shared" si="70"/>
        <v>1.0011000003726418</v>
      </c>
      <c r="AJ33" s="24">
        <f t="shared" si="70"/>
        <v>1.3165833688577804</v>
      </c>
      <c r="AK33" s="24">
        <f t="shared" si="70"/>
        <v>1.2703343212167399</v>
      </c>
      <c r="AL33" s="25">
        <f t="shared" si="70"/>
        <v>4.781727296808862</v>
      </c>
      <c r="AM33" s="24">
        <f t="shared" si="70"/>
        <v>1.3819309249182008</v>
      </c>
      <c r="AN33" s="24">
        <f t="shared" si="70"/>
        <v>1.1497566064243128</v>
      </c>
      <c r="AO33" s="24">
        <f t="shared" si="70"/>
        <v>1.4611546601812313</v>
      </c>
      <c r="AP33" s="24">
        <f t="shared" si="70"/>
        <v>1.3909672615584725</v>
      </c>
      <c r="AQ33" s="25">
        <f t="shared" si="70"/>
        <v>5.3838048857848202</v>
      </c>
      <c r="AR33" s="24">
        <f t="shared" si="70"/>
        <v>1.4892801695668916</v>
      </c>
      <c r="AS33" s="24">
        <f t="shared" si="70"/>
        <v>1.2417017200893992</v>
      </c>
      <c r="AT33" s="24">
        <f t="shared" si="70"/>
        <v>1.5730488549461377</v>
      </c>
      <c r="AU33" s="24">
        <f t="shared" si="70"/>
        <v>1.5006256060986809</v>
      </c>
      <c r="AV33" s="25">
        <f t="shared" si="70"/>
        <v>5.8046517810655427</v>
      </c>
    </row>
    <row r="34" spans="2:48" x14ac:dyDescent="0.3">
      <c r="B34" s="93" t="s">
        <v>74</v>
      </c>
      <c r="C34" s="100"/>
      <c r="D34" s="111">
        <f t="shared" ref="D34:AV34" si="71">+D29/D31</f>
        <v>0.74999999999999922</v>
      </c>
      <c r="E34" s="111">
        <f t="shared" si="71"/>
        <v>0.60000000000000009</v>
      </c>
      <c r="F34" s="111">
        <f t="shared" si="71"/>
        <v>0.78</v>
      </c>
      <c r="G34" s="111">
        <f t="shared" si="71"/>
        <v>0.69511774261567683</v>
      </c>
      <c r="H34" s="172">
        <f t="shared" si="71"/>
        <v>2.8336117418099285</v>
      </c>
      <c r="I34" s="111">
        <f t="shared" si="71"/>
        <v>0.79454240134340781</v>
      </c>
      <c r="J34" s="111">
        <f t="shared" si="71"/>
        <v>0.31523672397730074</v>
      </c>
      <c r="K34" s="111">
        <f t="shared" si="71"/>
        <v>-0.46193838254171954</v>
      </c>
      <c r="L34" s="111">
        <f t="shared" si="71"/>
        <v>0.51</v>
      </c>
      <c r="M34" s="172">
        <f t="shared" si="71"/>
        <v>1.1512365543643674</v>
      </c>
      <c r="N34" s="111">
        <f t="shared" si="71"/>
        <v>0.60998309382924787</v>
      </c>
      <c r="O34" s="111">
        <f t="shared" si="71"/>
        <v>0.62099257258609042</v>
      </c>
      <c r="P34" s="111">
        <f t="shared" si="71"/>
        <v>1.0059332321699532</v>
      </c>
      <c r="Q34" s="111">
        <f t="shared" si="71"/>
        <v>0.99628807138648001</v>
      </c>
      <c r="R34" s="172">
        <f>+R29/R31+0.01</f>
        <v>3.2421909979383412</v>
      </c>
      <c r="S34" s="111">
        <f t="shared" si="71"/>
        <v>0.71999999999999986</v>
      </c>
      <c r="T34" s="111">
        <f t="shared" si="71"/>
        <v>0.58587745905191113</v>
      </c>
      <c r="U34" s="111">
        <f t="shared" si="71"/>
        <v>0.84046915725456095</v>
      </c>
      <c r="V34" s="420">
        <f t="shared" si="71"/>
        <v>0.73446564467919473</v>
      </c>
      <c r="W34" s="172">
        <f t="shared" si="71"/>
        <v>2.8803051315638277</v>
      </c>
      <c r="X34" s="82">
        <f t="shared" si="71"/>
        <v>0.78042126848610227</v>
      </c>
      <c r="Y34" s="82">
        <f t="shared" si="71"/>
        <v>0.73034479250259043</v>
      </c>
      <c r="Z34" s="82">
        <f t="shared" si="71"/>
        <v>0.93038624942386372</v>
      </c>
      <c r="AA34" s="82">
        <f t="shared" si="71"/>
        <v>0.98844219203052486</v>
      </c>
      <c r="AB34" s="83">
        <f t="shared" si="71"/>
        <v>3.4295180540589043</v>
      </c>
      <c r="AC34" s="82">
        <f t="shared" si="71"/>
        <v>1.0349675607992583</v>
      </c>
      <c r="AD34" s="82">
        <f t="shared" si="71"/>
        <v>0.86008253014573521</v>
      </c>
      <c r="AE34" s="82">
        <f t="shared" si="71"/>
        <v>1.0636590264713628</v>
      </c>
      <c r="AF34" s="82">
        <f t="shared" si="71"/>
        <v>1.0479525799585268</v>
      </c>
      <c r="AG34" s="83">
        <f t="shared" si="71"/>
        <v>4.0066603485928747</v>
      </c>
      <c r="AH34" s="82">
        <f t="shared" si="71"/>
        <v>1.2347438197777867</v>
      </c>
      <c r="AI34" s="82">
        <f t="shared" si="71"/>
        <v>1.0398760308862094</v>
      </c>
      <c r="AJ34" s="82">
        <f t="shared" si="71"/>
        <v>1.3563812961141726</v>
      </c>
      <c r="AK34" s="82">
        <f t="shared" si="71"/>
        <v>1.3112105712811317</v>
      </c>
      <c r="AL34" s="415">
        <f t="shared" si="71"/>
        <v>4.9400486053192605</v>
      </c>
      <c r="AM34" s="82">
        <f t="shared" si="71"/>
        <v>1.4228403567140329</v>
      </c>
      <c r="AN34" s="82">
        <f t="shared" si="71"/>
        <v>1.1906993071292731</v>
      </c>
      <c r="AO34" s="82">
        <f t="shared" si="71"/>
        <v>1.5021307173003375</v>
      </c>
      <c r="AP34" s="82">
        <f t="shared" si="71"/>
        <v>1.4319767629257081</v>
      </c>
      <c r="AQ34" s="83">
        <f t="shared" si="71"/>
        <v>5.5476464986405363</v>
      </c>
      <c r="AR34" s="82">
        <f t="shared" si="71"/>
        <v>1.5303217399397184</v>
      </c>
      <c r="AS34" s="82">
        <f t="shared" si="71"/>
        <v>1.2827754418066919</v>
      </c>
      <c r="AT34" s="82">
        <f t="shared" si="71"/>
        <v>1.6141548106481705</v>
      </c>
      <c r="AU34" s="82">
        <f t="shared" si="71"/>
        <v>1.5417638787285972</v>
      </c>
      <c r="AV34" s="83">
        <f t="shared" si="71"/>
        <v>5.9690151057478449</v>
      </c>
    </row>
    <row r="35" spans="2:48" x14ac:dyDescent="0.3">
      <c r="B35" s="38" t="s">
        <v>41</v>
      </c>
      <c r="C35" s="207"/>
      <c r="D35" s="239">
        <v>0.36</v>
      </c>
      <c r="E35" s="239">
        <v>0.36</v>
      </c>
      <c r="F35" s="239">
        <v>0.36</v>
      </c>
      <c r="G35" s="239">
        <v>0.41</v>
      </c>
      <c r="H35" s="174">
        <f>+SUM(D35:G35)</f>
        <v>1.49</v>
      </c>
      <c r="I35" s="239">
        <v>0.41</v>
      </c>
      <c r="J35" s="239">
        <v>0.41</v>
      </c>
      <c r="K35" s="239">
        <v>0.41</v>
      </c>
      <c r="L35" s="239">
        <f>K35*1.1</f>
        <v>0.45100000000000001</v>
      </c>
      <c r="M35" s="25">
        <f>+SUM(I35:L35)</f>
        <v>1.681</v>
      </c>
      <c r="N35" s="239">
        <f>+L35</f>
        <v>0.45100000000000001</v>
      </c>
      <c r="O35" s="239">
        <v>0.45</v>
      </c>
      <c r="P35" s="239">
        <v>0.45</v>
      </c>
      <c r="Q35" s="239">
        <v>0.49</v>
      </c>
      <c r="R35" s="25">
        <f>+SUM(N35:Q35)</f>
        <v>1.841</v>
      </c>
      <c r="S35" s="239">
        <v>0.49</v>
      </c>
      <c r="T35" s="239">
        <v>0.49</v>
      </c>
      <c r="U35" s="239">
        <v>0.49</v>
      </c>
      <c r="V35" s="240">
        <f>1.05*U35</f>
        <v>0.51449999999999996</v>
      </c>
      <c r="W35" s="25">
        <f>+SUM(S35:V35)</f>
        <v>1.9844999999999999</v>
      </c>
      <c r="X35" s="240">
        <f>+V35</f>
        <v>0.51449999999999996</v>
      </c>
      <c r="Y35" s="240">
        <f>+X35</f>
        <v>0.51449999999999996</v>
      </c>
      <c r="Z35" s="240">
        <f>+Y35</f>
        <v>0.51449999999999996</v>
      </c>
      <c r="AA35" s="240">
        <f>1.05*Z35</f>
        <v>0.54022499999999996</v>
      </c>
      <c r="AB35" s="25">
        <f>+SUM(X35:AA35)</f>
        <v>2.0837249999999998</v>
      </c>
      <c r="AC35" s="240">
        <f>+AA35</f>
        <v>0.54022499999999996</v>
      </c>
      <c r="AD35" s="240">
        <f>+AC35</f>
        <v>0.54022499999999996</v>
      </c>
      <c r="AE35" s="240">
        <f>+AD35</f>
        <v>0.54022499999999996</v>
      </c>
      <c r="AF35" s="240">
        <f>1.1*AE35</f>
        <v>0.59424750000000004</v>
      </c>
      <c r="AG35" s="25">
        <f>+SUM(AC35:AF35)</f>
        <v>2.2149225000000001</v>
      </c>
      <c r="AH35" s="240">
        <f>+AF35</f>
        <v>0.59424750000000004</v>
      </c>
      <c r="AI35" s="240">
        <f>+AH35</f>
        <v>0.59424750000000004</v>
      </c>
      <c r="AJ35" s="240">
        <f>+AI35</f>
        <v>0.59424750000000004</v>
      </c>
      <c r="AK35" s="240">
        <f>1.05*AJ35</f>
        <v>0.62395987500000005</v>
      </c>
      <c r="AL35" s="25">
        <f>+SUM(AH35:AK35)</f>
        <v>2.4067023750000001</v>
      </c>
      <c r="AM35" s="240">
        <f>+AK35</f>
        <v>0.62395987500000005</v>
      </c>
      <c r="AN35" s="240">
        <f>+AM35</f>
        <v>0.62395987500000005</v>
      </c>
      <c r="AO35" s="240">
        <f>+AN35</f>
        <v>0.62395987500000005</v>
      </c>
      <c r="AP35" s="240">
        <f>1.02*AO35</f>
        <v>0.63643907250000009</v>
      </c>
      <c r="AQ35" s="25">
        <f>+SUM(AM35:AP35)</f>
        <v>2.5083186975</v>
      </c>
      <c r="AR35" s="240">
        <f>+AP35</f>
        <v>0.63643907250000009</v>
      </c>
      <c r="AS35" s="240">
        <f>+AR35</f>
        <v>0.63643907250000009</v>
      </c>
      <c r="AT35" s="240">
        <f>+AS35</f>
        <v>0.63643907250000009</v>
      </c>
      <c r="AU35" s="240">
        <f>1.02*AT35</f>
        <v>0.6491678539500001</v>
      </c>
      <c r="AV35" s="25">
        <f>+SUM(AR35:AU35)</f>
        <v>2.5584850714500007</v>
      </c>
    </row>
    <row r="36" spans="2:48" s="241" customFormat="1" x14ac:dyDescent="0.3">
      <c r="B36" s="242" t="s">
        <v>170</v>
      </c>
      <c r="C36" s="243"/>
      <c r="D36" s="211"/>
      <c r="E36" s="211"/>
      <c r="F36" s="211"/>
      <c r="G36" s="211"/>
      <c r="H36" s="244">
        <f>H35/H33</f>
        <v>0.51052122693931912</v>
      </c>
      <c r="I36" s="211"/>
      <c r="J36" s="211"/>
      <c r="K36" s="211"/>
      <c r="L36" s="211"/>
      <c r="M36" s="244">
        <f>M35/M33</f>
        <v>2.1706939657696651</v>
      </c>
      <c r="N36" s="211"/>
      <c r="O36" s="211"/>
      <c r="P36" s="211"/>
      <c r="Q36" s="211"/>
      <c r="R36" s="244">
        <f>R35/R33</f>
        <v>0.52003419212449009</v>
      </c>
      <c r="S36" s="211"/>
      <c r="T36" s="211"/>
      <c r="U36" s="211"/>
      <c r="V36" s="211"/>
      <c r="W36" s="244">
        <f>W35/W33</f>
        <v>0.72533785850387944</v>
      </c>
      <c r="X36" s="211"/>
      <c r="Y36" s="211"/>
      <c r="Z36" s="211"/>
      <c r="AA36" s="211"/>
      <c r="AB36" s="244">
        <f>AB35/AB33</f>
        <v>0.64246879167895532</v>
      </c>
      <c r="AC36" s="211"/>
      <c r="AD36" s="211"/>
      <c r="AE36" s="211"/>
      <c r="AF36" s="211"/>
      <c r="AG36" s="244">
        <f>AG35/AG33</f>
        <v>0.57509740393145425</v>
      </c>
      <c r="AH36" s="211"/>
      <c r="AI36" s="211"/>
      <c r="AJ36" s="211"/>
      <c r="AK36" s="211"/>
      <c r="AL36" s="416">
        <f>AL35/AL33</f>
        <v>0.50331234418285187</v>
      </c>
      <c r="AM36" s="211"/>
      <c r="AN36" s="211"/>
      <c r="AO36" s="211"/>
      <c r="AP36" s="211"/>
      <c r="AQ36" s="244">
        <f>AQ35/AQ33</f>
        <v>0.46590074319425334</v>
      </c>
      <c r="AR36" s="211"/>
      <c r="AS36" s="211"/>
      <c r="AT36" s="211"/>
      <c r="AU36" s="211"/>
      <c r="AV36" s="244">
        <f>AV35/AV33</f>
        <v>0.44076460879111462</v>
      </c>
    </row>
    <row r="37" spans="2:48" s="63" customFormat="1" x14ac:dyDescent="0.3">
      <c r="B37" s="198"/>
      <c r="C37" s="371"/>
      <c r="D37" s="372"/>
      <c r="E37" s="196"/>
      <c r="F37" s="196"/>
      <c r="G37" s="196">
        <f>G35/F35-1</f>
        <v>0.13888888888888884</v>
      </c>
      <c r="H37" s="196"/>
      <c r="I37" s="196"/>
      <c r="J37" s="196"/>
      <c r="K37" s="196"/>
      <c r="L37" s="196">
        <f>L35/K35-1</f>
        <v>0.10000000000000009</v>
      </c>
      <c r="M37" s="196"/>
      <c r="N37" s="196"/>
      <c r="O37" s="196"/>
      <c r="P37" s="196"/>
      <c r="Q37" s="196">
        <f>Q35/P35-1</f>
        <v>8.8888888888888795E-2</v>
      </c>
      <c r="R37" s="196"/>
      <c r="S37" s="196"/>
      <c r="T37" s="196"/>
      <c r="U37" s="196"/>
      <c r="V37" s="196"/>
      <c r="W37" s="392"/>
      <c r="X37" s="196"/>
      <c r="Y37" s="196"/>
      <c r="Z37" s="196"/>
      <c r="AA37" s="196"/>
      <c r="AB37" s="392"/>
      <c r="AC37" s="196"/>
      <c r="AD37" s="196"/>
      <c r="AE37" s="196"/>
      <c r="AF37" s="392"/>
      <c r="AG37" s="392"/>
      <c r="AH37" s="196"/>
      <c r="AI37" s="196"/>
      <c r="AJ37" s="196"/>
      <c r="AK37" s="196"/>
      <c r="AL37" s="372"/>
      <c r="AM37" s="196"/>
      <c r="AN37" s="196"/>
      <c r="AO37" s="196"/>
      <c r="AP37" s="196"/>
      <c r="AQ37" s="196"/>
      <c r="AR37" s="196"/>
      <c r="AS37" s="196"/>
      <c r="AT37" s="196"/>
      <c r="AU37" s="196"/>
      <c r="AV37" s="196"/>
    </row>
    <row r="38" spans="2:48" ht="15.6" x14ac:dyDescent="0.3">
      <c r="B38" s="433" t="s">
        <v>13</v>
      </c>
      <c r="C38" s="434"/>
      <c r="D38" s="13" t="s">
        <v>15</v>
      </c>
      <c r="E38" s="13" t="s">
        <v>82</v>
      </c>
      <c r="F38" s="13" t="s">
        <v>84</v>
      </c>
      <c r="G38" s="13" t="s">
        <v>147</v>
      </c>
      <c r="H38" s="39" t="s">
        <v>147</v>
      </c>
      <c r="I38" s="13" t="s">
        <v>146</v>
      </c>
      <c r="J38" s="13" t="s">
        <v>145</v>
      </c>
      <c r="K38" s="13" t="s">
        <v>144</v>
      </c>
      <c r="L38" s="13" t="s">
        <v>141</v>
      </c>
      <c r="M38" s="39" t="s">
        <v>141</v>
      </c>
      <c r="N38" s="13" t="s">
        <v>148</v>
      </c>
      <c r="O38" s="13" t="s">
        <v>156</v>
      </c>
      <c r="P38" s="13" t="s">
        <v>158</v>
      </c>
      <c r="Q38" s="13" t="s">
        <v>171</v>
      </c>
      <c r="R38" s="39" t="s">
        <v>171</v>
      </c>
      <c r="S38" s="13" t="s">
        <v>187</v>
      </c>
      <c r="T38" s="13" t="s">
        <v>190</v>
      </c>
      <c r="U38" s="13" t="s">
        <v>203</v>
      </c>
      <c r="V38" s="15" t="s">
        <v>20</v>
      </c>
      <c r="W38" s="41" t="s">
        <v>20</v>
      </c>
      <c r="X38" s="15" t="s">
        <v>21</v>
      </c>
      <c r="Y38" s="15" t="s">
        <v>22</v>
      </c>
      <c r="Z38" s="15" t="s">
        <v>23</v>
      </c>
      <c r="AA38" s="15" t="s">
        <v>24</v>
      </c>
      <c r="AB38" s="41" t="s">
        <v>24</v>
      </c>
      <c r="AC38" s="15" t="s">
        <v>86</v>
      </c>
      <c r="AD38" s="15" t="s">
        <v>87</v>
      </c>
      <c r="AE38" s="15" t="s">
        <v>88</v>
      </c>
      <c r="AF38" s="15" t="s">
        <v>89</v>
      </c>
      <c r="AG38" s="41" t="s">
        <v>89</v>
      </c>
      <c r="AH38" s="15" t="s">
        <v>105</v>
      </c>
      <c r="AI38" s="15" t="s">
        <v>106</v>
      </c>
      <c r="AJ38" s="15" t="s">
        <v>107</v>
      </c>
      <c r="AK38" s="15" t="s">
        <v>108</v>
      </c>
      <c r="AL38" s="41" t="s">
        <v>108</v>
      </c>
      <c r="AM38" s="15" t="s">
        <v>160</v>
      </c>
      <c r="AN38" s="15" t="s">
        <v>161</v>
      </c>
      <c r="AO38" s="15" t="s">
        <v>162</v>
      </c>
      <c r="AP38" s="15" t="s">
        <v>163</v>
      </c>
      <c r="AQ38" s="41" t="s">
        <v>163</v>
      </c>
      <c r="AR38" s="15" t="s">
        <v>191</v>
      </c>
      <c r="AS38" s="15" t="s">
        <v>192</v>
      </c>
      <c r="AT38" s="15" t="s">
        <v>193</v>
      </c>
      <c r="AU38" s="15" t="s">
        <v>194</v>
      </c>
      <c r="AV38" s="41" t="s">
        <v>194</v>
      </c>
    </row>
    <row r="39" spans="2:48" ht="16.2" x14ac:dyDescent="0.45">
      <c r="B39" s="467"/>
      <c r="C39" s="468"/>
      <c r="D39" s="14" t="s">
        <v>19</v>
      </c>
      <c r="E39" s="14" t="s">
        <v>81</v>
      </c>
      <c r="F39" s="14" t="s">
        <v>85</v>
      </c>
      <c r="G39" s="14" t="s">
        <v>95</v>
      </c>
      <c r="H39" s="40" t="s">
        <v>96</v>
      </c>
      <c r="I39" s="14" t="s">
        <v>97</v>
      </c>
      <c r="J39" s="14" t="s">
        <v>98</v>
      </c>
      <c r="K39" s="14" t="s">
        <v>99</v>
      </c>
      <c r="L39" s="14" t="s">
        <v>142</v>
      </c>
      <c r="M39" s="40" t="s">
        <v>143</v>
      </c>
      <c r="N39" s="14" t="s">
        <v>149</v>
      </c>
      <c r="O39" s="14" t="s">
        <v>157</v>
      </c>
      <c r="P39" s="14" t="s">
        <v>159</v>
      </c>
      <c r="Q39" s="14" t="s">
        <v>172</v>
      </c>
      <c r="R39" s="40" t="s">
        <v>173</v>
      </c>
      <c r="S39" s="14" t="s">
        <v>188</v>
      </c>
      <c r="T39" s="14" t="s">
        <v>189</v>
      </c>
      <c r="U39" s="14" t="s">
        <v>204</v>
      </c>
      <c r="V39" s="12" t="s">
        <v>25</v>
      </c>
      <c r="W39" s="42" t="s">
        <v>26</v>
      </c>
      <c r="X39" s="12" t="s">
        <v>27</v>
      </c>
      <c r="Y39" s="12" t="s">
        <v>28</v>
      </c>
      <c r="Z39" s="12" t="s">
        <v>29</v>
      </c>
      <c r="AA39" s="12" t="s">
        <v>30</v>
      </c>
      <c r="AB39" s="42" t="s">
        <v>31</v>
      </c>
      <c r="AC39" s="12" t="s">
        <v>90</v>
      </c>
      <c r="AD39" s="12" t="s">
        <v>91</v>
      </c>
      <c r="AE39" s="12" t="s">
        <v>92</v>
      </c>
      <c r="AF39" s="12" t="s">
        <v>93</v>
      </c>
      <c r="AG39" s="42" t="s">
        <v>94</v>
      </c>
      <c r="AH39" s="12" t="s">
        <v>109</v>
      </c>
      <c r="AI39" s="12" t="s">
        <v>110</v>
      </c>
      <c r="AJ39" s="12" t="s">
        <v>111</v>
      </c>
      <c r="AK39" s="12" t="s">
        <v>112</v>
      </c>
      <c r="AL39" s="42" t="s">
        <v>113</v>
      </c>
      <c r="AM39" s="12" t="s">
        <v>164</v>
      </c>
      <c r="AN39" s="12" t="s">
        <v>165</v>
      </c>
      <c r="AO39" s="12" t="s">
        <v>166</v>
      </c>
      <c r="AP39" s="12" t="s">
        <v>167</v>
      </c>
      <c r="AQ39" s="42" t="s">
        <v>168</v>
      </c>
      <c r="AR39" s="12" t="s">
        <v>195</v>
      </c>
      <c r="AS39" s="12" t="s">
        <v>196</v>
      </c>
      <c r="AT39" s="12" t="s">
        <v>197</v>
      </c>
      <c r="AU39" s="12" t="s">
        <v>198</v>
      </c>
      <c r="AV39" s="42" t="s">
        <v>199</v>
      </c>
    </row>
    <row r="40" spans="2:48" ht="17.399999999999999" x14ac:dyDescent="0.45">
      <c r="B40" s="455" t="s">
        <v>174</v>
      </c>
      <c r="C40" s="456"/>
      <c r="D40" s="14"/>
      <c r="E40" s="14"/>
      <c r="F40" s="14"/>
      <c r="G40" s="14"/>
      <c r="H40" s="40"/>
      <c r="I40" s="14"/>
      <c r="J40" s="14"/>
      <c r="K40" s="14"/>
      <c r="L40" s="14"/>
      <c r="M40" s="40"/>
      <c r="N40" s="14"/>
      <c r="O40" s="14"/>
      <c r="P40" s="14"/>
      <c r="Q40" s="14"/>
      <c r="R40" s="40"/>
      <c r="S40" s="14"/>
      <c r="T40" s="14"/>
      <c r="U40" s="14"/>
      <c r="V40" s="12"/>
      <c r="W40" s="42"/>
      <c r="X40" s="12"/>
      <c r="Y40" s="12"/>
      <c r="Z40" s="12"/>
      <c r="AA40" s="12"/>
      <c r="AB40" s="42"/>
      <c r="AC40" s="12"/>
      <c r="AD40" s="12"/>
      <c r="AE40" s="12"/>
      <c r="AF40" s="12"/>
      <c r="AG40" s="42"/>
      <c r="AH40" s="12"/>
      <c r="AI40" s="12"/>
      <c r="AJ40" s="12"/>
      <c r="AK40" s="12"/>
      <c r="AL40" s="42"/>
      <c r="AM40" s="12"/>
      <c r="AN40" s="12"/>
      <c r="AO40" s="12"/>
      <c r="AP40" s="12"/>
      <c r="AQ40" s="42"/>
      <c r="AR40" s="12"/>
      <c r="AS40" s="12"/>
      <c r="AT40" s="12"/>
      <c r="AU40" s="12"/>
      <c r="AV40" s="42"/>
    </row>
    <row r="41" spans="2:48" s="8" customFormat="1" outlineLevel="1" x14ac:dyDescent="0.3">
      <c r="B41" s="457" t="s">
        <v>175</v>
      </c>
      <c r="C41" s="458"/>
      <c r="D41" s="21">
        <v>9777</v>
      </c>
      <c r="E41" s="21">
        <v>9776</v>
      </c>
      <c r="F41" s="116">
        <v>9857</v>
      </c>
      <c r="G41" s="21">
        <v>9974</v>
      </c>
      <c r="H41" s="57"/>
      <c r="I41" s="21">
        <v>10020</v>
      </c>
      <c r="J41" s="21">
        <v>10051</v>
      </c>
      <c r="K41" s="21">
        <v>10017</v>
      </c>
      <c r="L41" s="21">
        <v>10109</v>
      </c>
      <c r="M41" s="57"/>
      <c r="N41" s="21">
        <v>10029</v>
      </c>
      <c r="O41" s="21">
        <f>+N41+O42</f>
        <v>9820</v>
      </c>
      <c r="P41" s="21">
        <f>+O41+P42</f>
        <v>9860</v>
      </c>
      <c r="Q41" s="21">
        <f>+P41+Q42</f>
        <v>9861</v>
      </c>
      <c r="R41" s="191"/>
      <c r="S41" s="21">
        <f>+Q41+S42</f>
        <v>9900</v>
      </c>
      <c r="T41" s="21">
        <f>+S41+T42</f>
        <v>9954</v>
      </c>
      <c r="U41" s="21">
        <f>+T41+U42</f>
        <v>10050</v>
      </c>
      <c r="V41" s="21">
        <f>+U41+V42</f>
        <v>10146</v>
      </c>
      <c r="W41" s="191">
        <f>V41</f>
        <v>10146</v>
      </c>
      <c r="X41" s="21">
        <f>+V41+X42</f>
        <v>10206.5</v>
      </c>
      <c r="Y41" s="21">
        <f>+X41+Y42</f>
        <v>10267</v>
      </c>
      <c r="Z41" s="21">
        <f>+Y41+Z42</f>
        <v>10327.5</v>
      </c>
      <c r="AA41" s="21">
        <f>+Z41+AA42</f>
        <v>10388</v>
      </c>
      <c r="AB41" s="191">
        <f>AA41</f>
        <v>10388</v>
      </c>
      <c r="AC41" s="21">
        <f>+AA41+AC42</f>
        <v>10460</v>
      </c>
      <c r="AD41" s="21">
        <f>+AC41+AD42</f>
        <v>10532</v>
      </c>
      <c r="AE41" s="21">
        <f>+AD41+AE42</f>
        <v>10605</v>
      </c>
      <c r="AF41" s="21">
        <f>+AE41+AF42</f>
        <v>10678</v>
      </c>
      <c r="AG41" s="191">
        <f>AF41</f>
        <v>10678</v>
      </c>
      <c r="AH41" s="21">
        <f>+AF41+AH42</f>
        <v>10764</v>
      </c>
      <c r="AI41" s="21">
        <f>+AH41+AI42</f>
        <v>10850</v>
      </c>
      <c r="AJ41" s="21">
        <f>+AI41+AJ42</f>
        <v>10936</v>
      </c>
      <c r="AK41" s="21">
        <f>+AJ41+AK42</f>
        <v>11022</v>
      </c>
      <c r="AL41" s="191">
        <f>AK41</f>
        <v>11022</v>
      </c>
      <c r="AM41" s="21">
        <f>+AK41+AM42</f>
        <v>11118</v>
      </c>
      <c r="AN41" s="21">
        <f>+AM41+AN42</f>
        <v>11214</v>
      </c>
      <c r="AO41" s="21">
        <f>+AN41+AO42</f>
        <v>11310</v>
      </c>
      <c r="AP41" s="21">
        <f>+AO41+AP42</f>
        <v>11406</v>
      </c>
      <c r="AQ41" s="191">
        <f>AP41</f>
        <v>11406</v>
      </c>
      <c r="AR41" s="21">
        <f>+AP41+AR42</f>
        <v>11502</v>
      </c>
      <c r="AS41" s="21">
        <f>+AR41+AS42</f>
        <v>11598</v>
      </c>
      <c r="AT41" s="21">
        <f>+AS41+AT42</f>
        <v>11694</v>
      </c>
      <c r="AU41" s="21">
        <f>+AT41+AU42</f>
        <v>11790</v>
      </c>
      <c r="AV41" s="191">
        <f>AU41</f>
        <v>11790</v>
      </c>
    </row>
    <row r="42" spans="2:48" outlineLevel="1" x14ac:dyDescent="0.3">
      <c r="B42" s="180" t="s">
        <v>46</v>
      </c>
      <c r="C42" s="201"/>
      <c r="D42" s="101">
        <f>+D41-9690</f>
        <v>87</v>
      </c>
      <c r="E42" s="101">
        <f>E41-D41</f>
        <v>-1</v>
      </c>
      <c r="F42" s="101">
        <f>F41-E41</f>
        <v>81</v>
      </c>
      <c r="G42" s="101">
        <f>G41-F41</f>
        <v>117</v>
      </c>
      <c r="H42" s="122">
        <f>+SUM(D42:G42)</f>
        <v>284</v>
      </c>
      <c r="I42" s="101">
        <f>I41-G41</f>
        <v>46</v>
      </c>
      <c r="J42" s="101">
        <f>J41-I41</f>
        <v>31</v>
      </c>
      <c r="K42" s="101">
        <f>K41-J41</f>
        <v>-34</v>
      </c>
      <c r="L42" s="101">
        <f>L41-K41</f>
        <v>92</v>
      </c>
      <c r="M42" s="122"/>
      <c r="N42" s="101">
        <v>-80</v>
      </c>
      <c r="O42" s="101">
        <v>-209</v>
      </c>
      <c r="P42" s="101">
        <v>40</v>
      </c>
      <c r="Q42" s="101">
        <v>1</v>
      </c>
      <c r="R42" s="26"/>
      <c r="S42" s="101">
        <v>39</v>
      </c>
      <c r="T42" s="101">
        <v>54</v>
      </c>
      <c r="U42" s="101">
        <v>96</v>
      </c>
      <c r="V42" s="33">
        <v>96</v>
      </c>
      <c r="W42" s="122">
        <f>+SUM(S42:V42)</f>
        <v>285</v>
      </c>
      <c r="X42" s="33">
        <v>60.5</v>
      </c>
      <c r="Y42" s="33">
        <v>60.5</v>
      </c>
      <c r="Z42" s="33">
        <v>60.5</v>
      </c>
      <c r="AA42" s="33">
        <v>60.5</v>
      </c>
      <c r="AB42" s="26">
        <f>+SUM(X42:AA42)</f>
        <v>242</v>
      </c>
      <c r="AC42" s="33">
        <v>72</v>
      </c>
      <c r="AD42" s="33">
        <v>72</v>
      </c>
      <c r="AE42" s="33">
        <v>73</v>
      </c>
      <c r="AF42" s="33">
        <v>73</v>
      </c>
      <c r="AG42" s="26">
        <f>+SUM(AC42:AF42)</f>
        <v>290</v>
      </c>
      <c r="AH42" s="33">
        <v>86</v>
      </c>
      <c r="AI42" s="33">
        <v>86</v>
      </c>
      <c r="AJ42" s="33">
        <v>86</v>
      </c>
      <c r="AK42" s="33">
        <v>86</v>
      </c>
      <c r="AL42" s="26">
        <f>+SUM(AH42:AK42)</f>
        <v>344</v>
      </c>
      <c r="AM42" s="33">
        <v>96</v>
      </c>
      <c r="AN42" s="33">
        <v>96</v>
      </c>
      <c r="AO42" s="33">
        <v>96</v>
      </c>
      <c r="AP42" s="33">
        <v>96</v>
      </c>
      <c r="AQ42" s="26">
        <f>+SUM(AM42:AP42)</f>
        <v>384</v>
      </c>
      <c r="AR42" s="33">
        <v>96</v>
      </c>
      <c r="AS42" s="33">
        <v>96</v>
      </c>
      <c r="AT42" s="33">
        <v>96</v>
      </c>
      <c r="AU42" s="33">
        <v>96</v>
      </c>
      <c r="AV42" s="26">
        <f>+SUM(AR42:AU42)</f>
        <v>384</v>
      </c>
    </row>
    <row r="43" spans="2:48" outlineLevel="1" x14ac:dyDescent="0.3">
      <c r="B43" s="180" t="s">
        <v>201</v>
      </c>
      <c r="C43" s="201"/>
      <c r="D43" s="101"/>
      <c r="E43" s="101">
        <f>AVERAGE(D41,E41)</f>
        <v>9776.5</v>
      </c>
      <c r="F43" s="101">
        <f t="shared" ref="F43:G43" si="72">AVERAGE(E41,F41)</f>
        <v>9816.5</v>
      </c>
      <c r="G43" s="101">
        <f t="shared" si="72"/>
        <v>9915.5</v>
      </c>
      <c r="H43" s="122"/>
      <c r="I43" s="101">
        <f>AVERAGE(G41,I41)</f>
        <v>9997</v>
      </c>
      <c r="J43" s="101">
        <f>AVERAGE(I41,J41)</f>
        <v>10035.5</v>
      </c>
      <c r="K43" s="101">
        <f t="shared" ref="K43:L43" si="73">AVERAGE(J41,K41)</f>
        <v>10034</v>
      </c>
      <c r="L43" s="101">
        <f t="shared" si="73"/>
        <v>10063</v>
      </c>
      <c r="M43" s="122"/>
      <c r="N43" s="101">
        <f>AVERAGE(L41,N41)</f>
        <v>10069</v>
      </c>
      <c r="O43" s="101">
        <f>AVERAGE(N41,O41)</f>
        <v>9924.5</v>
      </c>
      <c r="P43" s="101">
        <f t="shared" ref="P43:Q43" si="74">AVERAGE(O41,P41)</f>
        <v>9840</v>
      </c>
      <c r="Q43" s="101">
        <f t="shared" si="74"/>
        <v>9860.5</v>
      </c>
      <c r="R43" s="122"/>
      <c r="S43" s="101">
        <f>AVERAGE(Q41,S41)</f>
        <v>9880.5</v>
      </c>
      <c r="T43" s="101">
        <f>AVERAGE(S41,T41)</f>
        <v>9927</v>
      </c>
      <c r="U43" s="101">
        <f t="shared" ref="U43:V43" si="75">AVERAGE(T41,U41)</f>
        <v>10002</v>
      </c>
      <c r="V43" s="101">
        <f t="shared" si="75"/>
        <v>10098</v>
      </c>
      <c r="W43" s="122"/>
      <c r="X43" s="101">
        <f>AVERAGE(V41,X41)</f>
        <v>10176.25</v>
      </c>
      <c r="Y43" s="101">
        <f>AVERAGE(X41,Y41)</f>
        <v>10236.75</v>
      </c>
      <c r="Z43" s="101">
        <f t="shared" ref="Z43:AA43" si="76">AVERAGE(Y41,Z41)</f>
        <v>10297.25</v>
      </c>
      <c r="AA43" s="101">
        <f t="shared" si="76"/>
        <v>10357.75</v>
      </c>
      <c r="AB43" s="122"/>
      <c r="AC43" s="101">
        <f>AVERAGE(AA41,AC41)</f>
        <v>10424</v>
      </c>
      <c r="AD43" s="101">
        <f>AVERAGE(AC41,AD41)</f>
        <v>10496</v>
      </c>
      <c r="AE43" s="101">
        <f t="shared" ref="AE43:AF43" si="77">AVERAGE(AD41,AE41)</f>
        <v>10568.5</v>
      </c>
      <c r="AF43" s="101">
        <f t="shared" si="77"/>
        <v>10641.5</v>
      </c>
      <c r="AG43" s="122"/>
      <c r="AH43" s="101">
        <f>AVERAGE(AF41,AH41)</f>
        <v>10721</v>
      </c>
      <c r="AI43" s="101">
        <f>AVERAGE(AH41,AI41)</f>
        <v>10807</v>
      </c>
      <c r="AJ43" s="101">
        <f t="shared" ref="AJ43:AK43" si="78">AVERAGE(AI41,AJ41)</f>
        <v>10893</v>
      </c>
      <c r="AK43" s="101">
        <f t="shared" si="78"/>
        <v>10979</v>
      </c>
      <c r="AL43" s="122"/>
      <c r="AM43" s="101">
        <f>AVERAGE(AK41,AM41)</f>
        <v>11070</v>
      </c>
      <c r="AN43" s="101">
        <f>AVERAGE(AM41,AN41)</f>
        <v>11166</v>
      </c>
      <c r="AO43" s="101">
        <f t="shared" ref="AO43:AP43" si="79">AVERAGE(AN41,AO41)</f>
        <v>11262</v>
      </c>
      <c r="AP43" s="101">
        <f t="shared" si="79"/>
        <v>11358</v>
      </c>
      <c r="AQ43" s="122"/>
      <c r="AR43" s="101">
        <f>AVERAGE(AP41,AR41)</f>
        <v>11454</v>
      </c>
      <c r="AS43" s="101">
        <f>AVERAGE(AR41,AS41)</f>
        <v>11550</v>
      </c>
      <c r="AT43" s="101">
        <f t="shared" ref="AT43:AU43" si="80">AVERAGE(AS41,AT41)</f>
        <v>11646</v>
      </c>
      <c r="AU43" s="101">
        <f t="shared" si="80"/>
        <v>11742</v>
      </c>
      <c r="AV43" s="122"/>
    </row>
    <row r="44" spans="2:48" s="8" customFormat="1" outlineLevel="1" x14ac:dyDescent="0.3">
      <c r="B44" s="180" t="s">
        <v>205</v>
      </c>
      <c r="C44" s="206"/>
      <c r="D44" s="43"/>
      <c r="E44" s="43">
        <f>+E45/E43</f>
        <v>0.39376054825346496</v>
      </c>
      <c r="F44" s="43">
        <f>+F45/F43</f>
        <v>0.42603779351092547</v>
      </c>
      <c r="G44" s="43">
        <f>+G45/G43</f>
        <v>0.4199687358176592</v>
      </c>
      <c r="H44" s="97"/>
      <c r="I44" s="43">
        <f>+I45/I43</f>
        <v>0.44723417025107531</v>
      </c>
      <c r="J44" s="43">
        <f>+J45/J43</f>
        <v>0.38499327387773402</v>
      </c>
      <c r="K44" s="43">
        <f>+K45/K43</f>
        <v>0.25601953358580826</v>
      </c>
      <c r="L44" s="43">
        <f>+L45/L43</f>
        <v>0.3851038457716387</v>
      </c>
      <c r="M44" s="97"/>
      <c r="N44" s="43">
        <f>+N45/N43</f>
        <v>0.42554374813784884</v>
      </c>
      <c r="O44" s="43">
        <f>+O45/O43</f>
        <v>0.43008715804322634</v>
      </c>
      <c r="P44" s="43">
        <f>+P45/P43</f>
        <v>0.50099593495934958</v>
      </c>
      <c r="Q44" s="43">
        <f>+Q45/Q43</f>
        <v>0.53286344505856698</v>
      </c>
      <c r="R44" s="97"/>
      <c r="S44" s="43">
        <f>+S45/S43</f>
        <v>0.52771620869389202</v>
      </c>
      <c r="T44" s="43">
        <f>+T45/T43</f>
        <v>0.49725999798529263</v>
      </c>
      <c r="U44" s="43">
        <f>+U45/U43</f>
        <v>0.55120975804839034</v>
      </c>
      <c r="V44" s="219">
        <f>Q44*1.01</f>
        <v>0.5381920795091526</v>
      </c>
      <c r="W44" s="132"/>
      <c r="X44" s="219">
        <f>S44*(1.07+0.015)</f>
        <v>0.57257208643287283</v>
      </c>
      <c r="Y44" s="219">
        <f>T44*(1.07+0.015)</f>
        <v>0.53952709781404251</v>
      </c>
      <c r="Z44" s="219">
        <f>U44*(1.05+0.015)</f>
        <v>0.58703839232153565</v>
      </c>
      <c r="AA44" s="219">
        <f>V44*(1.05+0.015)</f>
        <v>0.57317456467724748</v>
      </c>
      <c r="AB44" s="97"/>
      <c r="AC44" s="219">
        <f>X44*(1.05+0.015)</f>
        <v>0.60978927205100952</v>
      </c>
      <c r="AD44" s="219">
        <f>Y44*(1.05+0.015)</f>
        <v>0.57459635917195528</v>
      </c>
      <c r="AE44" s="219">
        <f>Z44*(1.05+0.015)</f>
        <v>0.6251958878224354</v>
      </c>
      <c r="AF44" s="219">
        <f>AA44*(1.05+0.015)</f>
        <v>0.61043091138126848</v>
      </c>
      <c r="AG44" s="97"/>
      <c r="AH44" s="219">
        <f>AC44*(1.07+0.015)</f>
        <v>0.66162136017534534</v>
      </c>
      <c r="AI44" s="219">
        <f>AD44*(1.07+0.015)</f>
        <v>0.62343704970157143</v>
      </c>
      <c r="AJ44" s="219">
        <f>AE44*(1.07+0.015)</f>
        <v>0.67833753828734245</v>
      </c>
      <c r="AK44" s="219">
        <f>AF44*(1.07+0.015)</f>
        <v>0.66231753884867628</v>
      </c>
      <c r="AL44" s="97"/>
      <c r="AM44" s="219">
        <f>AH44*1.05</f>
        <v>0.69470242818411265</v>
      </c>
      <c r="AN44" s="219">
        <f>AI44*1.05</f>
        <v>0.65460890218665002</v>
      </c>
      <c r="AO44" s="219">
        <f>AJ44*1.05</f>
        <v>0.71225441520170962</v>
      </c>
      <c r="AP44" s="219">
        <f>AK44*1.05</f>
        <v>0.69543341579111018</v>
      </c>
      <c r="AQ44" s="97"/>
      <c r="AR44" s="219">
        <f>AM44*1.03</f>
        <v>0.71554350102963604</v>
      </c>
      <c r="AS44" s="219">
        <f>AN44*1.03</f>
        <v>0.67424716925224959</v>
      </c>
      <c r="AT44" s="219">
        <f>AO44*1.03</f>
        <v>0.73362204765776096</v>
      </c>
      <c r="AU44" s="219">
        <f>AP44*1.03</f>
        <v>0.71629641826484347</v>
      </c>
      <c r="AV44" s="97"/>
    </row>
    <row r="45" spans="2:48" s="8" customFormat="1" outlineLevel="1" x14ac:dyDescent="0.3">
      <c r="B45" s="445" t="s">
        <v>176</v>
      </c>
      <c r="C45" s="446"/>
      <c r="D45" s="50">
        <v>4092.2</v>
      </c>
      <c r="E45" s="50">
        <v>3849.6</v>
      </c>
      <c r="F45" s="50">
        <v>4182.2</v>
      </c>
      <c r="G45" s="50">
        <v>4164.2</v>
      </c>
      <c r="H45" s="97">
        <f>SUM(D45:G45)</f>
        <v>16288.2</v>
      </c>
      <c r="I45" s="50">
        <v>4471</v>
      </c>
      <c r="J45" s="50">
        <v>3863.6</v>
      </c>
      <c r="K45" s="103">
        <v>2568.9</v>
      </c>
      <c r="L45" s="50">
        <v>3875.3</v>
      </c>
      <c r="M45" s="97"/>
      <c r="N45" s="50">
        <v>4284.8</v>
      </c>
      <c r="O45" s="50">
        <v>4268.3999999999996</v>
      </c>
      <c r="P45" s="50">
        <v>4929.8</v>
      </c>
      <c r="Q45" s="103">
        <v>5254.3</v>
      </c>
      <c r="R45" s="132">
        <f>SUM(N45:Q45)</f>
        <v>18737.3</v>
      </c>
      <c r="S45" s="50">
        <v>5214.1000000000004</v>
      </c>
      <c r="T45" s="50">
        <v>4936.3</v>
      </c>
      <c r="U45" s="50">
        <v>5513.2</v>
      </c>
      <c r="V45" s="50">
        <f>V44*V43</f>
        <v>5434.6636188834227</v>
      </c>
      <c r="W45" s="132">
        <f>SUM(S45:V45)</f>
        <v>21098.263618883426</v>
      </c>
      <c r="X45" s="50">
        <f>X44*X43</f>
        <v>5826.6366945625223</v>
      </c>
      <c r="Y45" s="50">
        <f>Y44*Y43</f>
        <v>5523.0040185478992</v>
      </c>
      <c r="Z45" s="50">
        <f>Z44*Z43</f>
        <v>6044.8810853329333</v>
      </c>
      <c r="AA45" s="50">
        <f>AA44*AA43</f>
        <v>5936.7988472857596</v>
      </c>
      <c r="AB45" s="97">
        <f>SUM(X45:AA45)</f>
        <v>23331.320645729116</v>
      </c>
      <c r="AC45" s="50">
        <f>AC44*AC43</f>
        <v>6356.4433718597229</v>
      </c>
      <c r="AD45" s="50">
        <f>AD44*AD43</f>
        <v>6030.963385868843</v>
      </c>
      <c r="AE45" s="50">
        <f>AE44*AE43</f>
        <v>6607.3827404514086</v>
      </c>
      <c r="AF45" s="50">
        <f>AF44*AF43</f>
        <v>6495.9005434637684</v>
      </c>
      <c r="AG45" s="97">
        <f>SUM(AC45:AF45)</f>
        <v>25490.690041643746</v>
      </c>
      <c r="AH45" s="50">
        <f>AH44*AH43</f>
        <v>7093.2426024398774</v>
      </c>
      <c r="AI45" s="50">
        <f>AI44*AI43</f>
        <v>6737.4841961248821</v>
      </c>
      <c r="AJ45" s="50">
        <f>AJ44*AJ43</f>
        <v>7389.1308045640217</v>
      </c>
      <c r="AK45" s="50">
        <f>AK44*AK43</f>
        <v>7271.5842590196171</v>
      </c>
      <c r="AL45" s="97">
        <f>SUM(AH45:AK45)</f>
        <v>28491.4418621484</v>
      </c>
      <c r="AM45" s="50">
        <f>AM44*AM43</f>
        <v>7690.3558799981274</v>
      </c>
      <c r="AN45" s="50">
        <f>AN44*AN43</f>
        <v>7309.3630018161339</v>
      </c>
      <c r="AO45" s="50">
        <f>AO44*AO43</f>
        <v>8021.4092240016535</v>
      </c>
      <c r="AP45" s="50">
        <f>AP44*AP43</f>
        <v>7898.7327365554293</v>
      </c>
      <c r="AQ45" s="97">
        <f>SUM(AM45:AP45)</f>
        <v>30919.860842371345</v>
      </c>
      <c r="AR45" s="50">
        <f>AR44*AR43</f>
        <v>8195.8352607934521</v>
      </c>
      <c r="AS45" s="50">
        <f>AS44*AS43</f>
        <v>7787.5548048634828</v>
      </c>
      <c r="AT45" s="50">
        <f>AT44*AT43</f>
        <v>8543.7623670222838</v>
      </c>
      <c r="AU45" s="50">
        <f>AU44*AU43</f>
        <v>8410.7525432657912</v>
      </c>
      <c r="AV45" s="97">
        <f>SUM(AR45:AU45)</f>
        <v>32937.904975945014</v>
      </c>
    </row>
    <row r="46" spans="2:48" s="8" customFormat="1" outlineLevel="1" x14ac:dyDescent="0.3">
      <c r="B46" s="38" t="s">
        <v>200</v>
      </c>
      <c r="C46" s="206"/>
      <c r="D46" s="43"/>
      <c r="E46" s="43"/>
      <c r="F46" s="43"/>
      <c r="G46" s="43"/>
      <c r="H46" s="97"/>
      <c r="I46" s="27">
        <f>I45/D45-1</f>
        <v>9.2566345730902722E-2</v>
      </c>
      <c r="J46" s="27">
        <f>J45/E45-1</f>
        <v>3.6367414796343311E-3</v>
      </c>
      <c r="K46" s="27">
        <f>K45/F45-1</f>
        <v>-0.38575390942566112</v>
      </c>
      <c r="L46" s="27">
        <f>L45/G45-1</f>
        <v>-6.9377071226165765E-2</v>
      </c>
      <c r="M46" s="97"/>
      <c r="N46" s="27">
        <f>N45/I45-1</f>
        <v>-4.1646164169089617E-2</v>
      </c>
      <c r="O46" s="27">
        <f>O45/J45-1</f>
        <v>0.10477275080236037</v>
      </c>
      <c r="P46" s="27">
        <f>P45/K45-1</f>
        <v>0.91903149207832135</v>
      </c>
      <c r="Q46" s="27">
        <f>Q45/L45-1</f>
        <v>0.35584341857404578</v>
      </c>
      <c r="R46" s="97"/>
      <c r="S46" s="27">
        <f>S45/N45-1</f>
        <v>0.21688293502613898</v>
      </c>
      <c r="T46" s="27">
        <f>T45/O45-1</f>
        <v>0.15647549433042851</v>
      </c>
      <c r="U46" s="27">
        <f>U45/P45-1</f>
        <v>0.11834151486875721</v>
      </c>
      <c r="V46" s="27">
        <f>V45/Q45-1</f>
        <v>3.4326859692713096E-2</v>
      </c>
      <c r="W46" s="98">
        <f>W45/R45-1</f>
        <v>0.12600340598076709</v>
      </c>
      <c r="X46" s="27">
        <f t="shared" ref="X46:AV46" si="81">X45/S45-1</f>
        <v>0.11747697484945085</v>
      </c>
      <c r="Y46" s="27">
        <f t="shared" si="81"/>
        <v>0.11885501662133557</v>
      </c>
      <c r="Z46" s="27">
        <f t="shared" si="81"/>
        <v>9.643783743251344E-2</v>
      </c>
      <c r="AA46" s="27">
        <f t="shared" si="81"/>
        <v>9.2394904931669464E-2</v>
      </c>
      <c r="AB46" s="98">
        <f t="shared" si="81"/>
        <v>0.10584079653109724</v>
      </c>
      <c r="AC46" s="27">
        <f t="shared" si="81"/>
        <v>9.0928387176022474E-2</v>
      </c>
      <c r="AD46" s="27">
        <f t="shared" si="81"/>
        <v>9.197157300901182E-2</v>
      </c>
      <c r="AE46" s="27">
        <f t="shared" si="81"/>
        <v>9.305421350360521E-2</v>
      </c>
      <c r="AF46" s="27">
        <f t="shared" si="81"/>
        <v>9.4175617291400116E-2</v>
      </c>
      <c r="AG46" s="98">
        <f t="shared" si="81"/>
        <v>9.2552386069491899E-2</v>
      </c>
      <c r="AH46" s="27">
        <f t="shared" si="81"/>
        <v>0.1159137567152726</v>
      </c>
      <c r="AI46" s="27">
        <f t="shared" si="81"/>
        <v>0.11714891387195103</v>
      </c>
      <c r="AJ46" s="27">
        <f t="shared" si="81"/>
        <v>0.11831433032123773</v>
      </c>
      <c r="AK46" s="27">
        <f t="shared" si="81"/>
        <v>0.11941126720857032</v>
      </c>
      <c r="AL46" s="98">
        <f t="shared" si="81"/>
        <v>0.11771952095460625</v>
      </c>
      <c r="AM46" s="27">
        <f t="shared" si="81"/>
        <v>8.4180580169760377E-2</v>
      </c>
      <c r="AN46" s="27">
        <f t="shared" si="81"/>
        <v>8.4880170260016596E-2</v>
      </c>
      <c r="AO46" s="27">
        <f t="shared" si="81"/>
        <v>8.5568713852933076E-2</v>
      </c>
      <c r="AP46" s="27">
        <f t="shared" si="81"/>
        <v>8.624647053465706E-2</v>
      </c>
      <c r="AQ46" s="98">
        <f t="shared" si="81"/>
        <v>8.5233277837341026E-2</v>
      </c>
      <c r="AR46" s="27">
        <f t="shared" si="81"/>
        <v>6.5728997289973057E-2</v>
      </c>
      <c r="AS46" s="27">
        <f t="shared" si="81"/>
        <v>6.5421816227834606E-2</v>
      </c>
      <c r="AT46" s="27">
        <f t="shared" si="81"/>
        <v>6.5119872136387924E-2</v>
      </c>
      <c r="AU46" s="27">
        <f t="shared" si="81"/>
        <v>6.482303222398289E-2</v>
      </c>
      <c r="AV46" s="98">
        <f t="shared" si="81"/>
        <v>6.5266921602965988E-2</v>
      </c>
    </row>
    <row r="47" spans="2:48" outlineLevel="1" x14ac:dyDescent="0.3">
      <c r="B47" s="220" t="s">
        <v>44</v>
      </c>
      <c r="C47" s="221"/>
      <c r="D47" s="222">
        <v>0.04</v>
      </c>
      <c r="E47" s="222">
        <v>0</v>
      </c>
      <c r="F47" s="222">
        <v>0.03</v>
      </c>
      <c r="G47" s="222">
        <v>0.03</v>
      </c>
      <c r="H47" s="223"/>
      <c r="I47" s="222">
        <v>0.02</v>
      </c>
      <c r="J47" s="222">
        <v>-7.0000000000000007E-2</v>
      </c>
      <c r="K47" s="222">
        <v>-0.53</v>
      </c>
      <c r="L47" s="224">
        <v>-0.25</v>
      </c>
      <c r="M47" s="223"/>
      <c r="N47" s="222">
        <v>-0.21</v>
      </c>
      <c r="O47" s="222">
        <v>-0.1</v>
      </c>
      <c r="P47" s="222">
        <v>0.82</v>
      </c>
      <c r="Q47" s="222">
        <v>0.18</v>
      </c>
      <c r="R47" s="225"/>
      <c r="S47" s="224">
        <v>0.12</v>
      </c>
      <c r="T47" s="224">
        <v>0.05</v>
      </c>
      <c r="U47" s="224">
        <v>0.01</v>
      </c>
      <c r="V47" s="224"/>
      <c r="W47" s="223"/>
      <c r="X47" s="224"/>
      <c r="Y47" s="224"/>
      <c r="Z47" s="224"/>
      <c r="AA47" s="224"/>
      <c r="AB47" s="376">
        <f>AB59/W59-1</f>
        <v>0.10679013957807548</v>
      </c>
      <c r="AC47" s="224"/>
      <c r="AD47" s="224"/>
      <c r="AE47" s="224"/>
      <c r="AF47" s="224"/>
      <c r="AG47" s="225"/>
      <c r="AH47" s="224"/>
      <c r="AI47" s="224"/>
      <c r="AJ47" s="224"/>
      <c r="AK47" s="224"/>
      <c r="AL47" s="225"/>
      <c r="AM47" s="224"/>
      <c r="AN47" s="224"/>
      <c r="AO47" s="224"/>
      <c r="AP47" s="224"/>
      <c r="AQ47" s="225"/>
      <c r="AR47" s="224"/>
      <c r="AS47" s="224"/>
      <c r="AT47" s="224"/>
      <c r="AU47" s="224"/>
      <c r="AV47" s="225"/>
    </row>
    <row r="48" spans="2:48" outlineLevel="1" x14ac:dyDescent="0.3">
      <c r="B48" s="38" t="s">
        <v>43</v>
      </c>
      <c r="C48" s="207"/>
      <c r="D48" s="226">
        <v>0</v>
      </c>
      <c r="E48" s="226">
        <v>0.04</v>
      </c>
      <c r="F48" s="226">
        <v>0.04</v>
      </c>
      <c r="G48" s="226">
        <v>0.03</v>
      </c>
      <c r="H48" s="217"/>
      <c r="I48" s="226">
        <v>0.03</v>
      </c>
      <c r="J48" s="226">
        <v>0.05</v>
      </c>
      <c r="K48" s="226">
        <v>0.27</v>
      </c>
      <c r="L48" s="227">
        <v>0.21</v>
      </c>
      <c r="M48" s="217"/>
      <c r="N48" s="226">
        <v>0.2</v>
      </c>
      <c r="O48" s="226">
        <v>0.22</v>
      </c>
      <c r="P48" s="226">
        <v>0.01</v>
      </c>
      <c r="Q48" s="226">
        <v>0.03</v>
      </c>
      <c r="R48" s="218"/>
      <c r="S48" s="227">
        <v>0.06</v>
      </c>
      <c r="T48" s="227">
        <v>7.0000000000000007E-2</v>
      </c>
      <c r="U48" s="228">
        <v>0.08</v>
      </c>
      <c r="V48" s="228"/>
      <c r="W48" s="148"/>
      <c r="X48" s="228"/>
      <c r="Y48" s="228"/>
      <c r="Z48" s="228"/>
      <c r="AA48" s="228"/>
      <c r="AB48" s="362"/>
      <c r="AC48" s="228"/>
      <c r="AD48" s="228"/>
      <c r="AE48" s="228"/>
      <c r="AF48" s="228"/>
      <c r="AG48" s="60"/>
      <c r="AH48" s="228"/>
      <c r="AI48" s="228"/>
      <c r="AJ48" s="228"/>
      <c r="AK48" s="228"/>
      <c r="AL48" s="60"/>
      <c r="AM48" s="228"/>
      <c r="AN48" s="228"/>
      <c r="AO48" s="228"/>
      <c r="AP48" s="228"/>
      <c r="AQ48" s="60"/>
      <c r="AR48" s="228"/>
      <c r="AS48" s="228"/>
      <c r="AT48" s="228"/>
      <c r="AU48" s="228"/>
      <c r="AV48" s="60"/>
    </row>
    <row r="49" spans="2:48" s="8" customFormat="1" outlineLevel="1" x14ac:dyDescent="0.3">
      <c r="B49" s="229" t="s">
        <v>45</v>
      </c>
      <c r="C49" s="230"/>
      <c r="D49" s="231">
        <v>0.04</v>
      </c>
      <c r="E49" s="231">
        <v>4.2999999999999997E-2</v>
      </c>
      <c r="F49" s="231">
        <v>7.0000000000000007E-2</v>
      </c>
      <c r="G49" s="231">
        <v>0.06</v>
      </c>
      <c r="H49" s="232"/>
      <c r="I49" s="231">
        <v>0.06</v>
      </c>
      <c r="J49" s="231">
        <v>-0.03</v>
      </c>
      <c r="K49" s="231">
        <v>-0.41</v>
      </c>
      <c r="L49" s="233">
        <v>-0.09</v>
      </c>
      <c r="M49" s="234"/>
      <c r="N49" s="233">
        <v>-0.06</v>
      </c>
      <c r="O49" s="233">
        <v>0.09</v>
      </c>
      <c r="P49" s="231">
        <v>0.84</v>
      </c>
      <c r="Q49" s="231">
        <v>0.22</v>
      </c>
      <c r="R49" s="235"/>
      <c r="S49" s="233">
        <v>0.18</v>
      </c>
      <c r="T49" s="233">
        <v>0.12</v>
      </c>
      <c r="U49" s="231">
        <v>0.09</v>
      </c>
      <c r="V49" s="231"/>
      <c r="W49" s="232"/>
      <c r="X49" s="233"/>
      <c r="Y49" s="233"/>
      <c r="Z49" s="233"/>
      <c r="AA49" s="233"/>
      <c r="AB49" s="361"/>
      <c r="AC49" s="233"/>
      <c r="AD49" s="233"/>
      <c r="AE49" s="233"/>
      <c r="AF49" s="233"/>
      <c r="AG49" s="232"/>
      <c r="AH49" s="233"/>
      <c r="AI49" s="233"/>
      <c r="AJ49" s="233"/>
      <c r="AK49" s="233"/>
      <c r="AL49" s="232"/>
      <c r="AM49" s="233"/>
      <c r="AN49" s="233"/>
      <c r="AO49" s="233"/>
      <c r="AP49" s="233"/>
      <c r="AQ49" s="232"/>
      <c r="AR49" s="233"/>
      <c r="AS49" s="233"/>
      <c r="AT49" s="233"/>
      <c r="AU49" s="233"/>
      <c r="AV49" s="232"/>
    </row>
    <row r="50" spans="2:48" s="8" customFormat="1" outlineLevel="1" x14ac:dyDescent="0.3">
      <c r="B50" s="451" t="s">
        <v>177</v>
      </c>
      <c r="C50" s="452"/>
      <c r="D50" s="67">
        <v>7876</v>
      </c>
      <c r="E50" s="67">
        <v>7943</v>
      </c>
      <c r="F50" s="117">
        <v>7996</v>
      </c>
      <c r="G50" s="67">
        <v>8093</v>
      </c>
      <c r="H50" s="68"/>
      <c r="I50" s="67">
        <v>8183</v>
      </c>
      <c r="J50" s="67">
        <v>8220</v>
      </c>
      <c r="K50" s="67">
        <v>8218</v>
      </c>
      <c r="L50" s="67">
        <v>6831</v>
      </c>
      <c r="M50" s="68"/>
      <c r="N50" s="67">
        <v>8279</v>
      </c>
      <c r="O50" s="67">
        <f>+N50+O51</f>
        <v>8300</v>
      </c>
      <c r="P50" s="67">
        <f t="shared" ref="P50" si="82">+O50+P51</f>
        <v>8315</v>
      </c>
      <c r="Q50" s="67">
        <v>6965</v>
      </c>
      <c r="R50" s="192"/>
      <c r="S50" s="67">
        <f>+Q50+S51</f>
        <v>6988</v>
      </c>
      <c r="T50" s="67">
        <f>+S50+T51</f>
        <v>6972</v>
      </c>
      <c r="U50" s="67">
        <f t="shared" ref="U50:V50" si="83">+T50+U51</f>
        <v>7000</v>
      </c>
      <c r="V50" s="67">
        <f t="shared" si="83"/>
        <v>7028</v>
      </c>
      <c r="W50" s="253">
        <f>V50</f>
        <v>7028</v>
      </c>
      <c r="X50" s="67">
        <f>+V50+X51</f>
        <v>7096</v>
      </c>
      <c r="Y50" s="67">
        <f>+X50+Y51</f>
        <v>7164</v>
      </c>
      <c r="Z50" s="67">
        <f t="shared" ref="Z50:AA50" si="84">+Y50+Z51</f>
        <v>7232</v>
      </c>
      <c r="AA50" s="67">
        <f t="shared" si="84"/>
        <v>7301</v>
      </c>
      <c r="AB50" s="192">
        <f>AA50</f>
        <v>7301</v>
      </c>
      <c r="AC50" s="67">
        <f>+AA50+AC51</f>
        <v>7383</v>
      </c>
      <c r="AD50" s="67">
        <f>+AC50+AD51</f>
        <v>7465</v>
      </c>
      <c r="AE50" s="67">
        <f t="shared" ref="AE50:AF50" si="85">+AD50+AE51</f>
        <v>7547</v>
      </c>
      <c r="AF50" s="67">
        <f t="shared" si="85"/>
        <v>7630</v>
      </c>
      <c r="AG50" s="192">
        <f>AF50</f>
        <v>7630</v>
      </c>
      <c r="AH50" s="67">
        <f>+AF50+AH51</f>
        <v>7727</v>
      </c>
      <c r="AI50" s="67">
        <f>+AH50+AI51</f>
        <v>7824</v>
      </c>
      <c r="AJ50" s="67">
        <f t="shared" ref="AJ50:AK50" si="86">+AI50+AJ51</f>
        <v>7921</v>
      </c>
      <c r="AK50" s="67">
        <f t="shared" si="86"/>
        <v>8018</v>
      </c>
      <c r="AL50" s="192">
        <f>AK50</f>
        <v>8018</v>
      </c>
      <c r="AM50" s="67">
        <f>+AK50+AM51</f>
        <v>8046</v>
      </c>
      <c r="AN50" s="67">
        <f>+AM50+AN51</f>
        <v>8074</v>
      </c>
      <c r="AO50" s="67">
        <f t="shared" ref="AO50:AP50" si="87">+AN50+AO51</f>
        <v>8102</v>
      </c>
      <c r="AP50" s="67">
        <f t="shared" si="87"/>
        <v>8130</v>
      </c>
      <c r="AQ50" s="192">
        <f>AP50</f>
        <v>8130</v>
      </c>
      <c r="AR50" s="67">
        <f>+AP50+AR51</f>
        <v>8158</v>
      </c>
      <c r="AS50" s="67">
        <f>+AR50+AS51</f>
        <v>8186</v>
      </c>
      <c r="AT50" s="67">
        <f t="shared" ref="AT50:AU50" si="88">+AS50+AT51</f>
        <v>8214</v>
      </c>
      <c r="AU50" s="67">
        <f t="shared" si="88"/>
        <v>8242</v>
      </c>
      <c r="AV50" s="192">
        <f>AU50</f>
        <v>8242</v>
      </c>
    </row>
    <row r="51" spans="2:48" outlineLevel="1" x14ac:dyDescent="0.3">
      <c r="B51" s="180" t="s">
        <v>47</v>
      </c>
      <c r="C51" s="201"/>
      <c r="D51" s="101">
        <f>+D50-7770</f>
        <v>106</v>
      </c>
      <c r="E51" s="101">
        <f>E50-D50</f>
        <v>67</v>
      </c>
      <c r="F51" s="101">
        <f t="shared" ref="F51:G51" si="89">F50-E50</f>
        <v>53</v>
      </c>
      <c r="G51" s="101">
        <f t="shared" si="89"/>
        <v>97</v>
      </c>
      <c r="H51" s="122">
        <f>+SUM(D51:G51)</f>
        <v>323</v>
      </c>
      <c r="I51" s="101">
        <f>I50-G50</f>
        <v>90</v>
      </c>
      <c r="J51" s="101">
        <f t="shared" ref="J51:K51" si="90">J50-I50</f>
        <v>37</v>
      </c>
      <c r="K51" s="101">
        <f t="shared" si="90"/>
        <v>-2</v>
      </c>
      <c r="L51" s="101">
        <v>32</v>
      </c>
      <c r="M51" s="122"/>
      <c r="N51" s="101">
        <v>34</v>
      </c>
      <c r="O51" s="101">
        <v>21</v>
      </c>
      <c r="P51" s="101">
        <v>15</v>
      </c>
      <c r="Q51" s="101">
        <v>73</v>
      </c>
      <c r="R51" s="26"/>
      <c r="S51" s="101">
        <v>23</v>
      </c>
      <c r="T51" s="101">
        <v>-16</v>
      </c>
      <c r="U51" s="101">
        <v>28</v>
      </c>
      <c r="V51" s="33">
        <v>28</v>
      </c>
      <c r="W51" s="122">
        <f>+SUM(S51:V51)</f>
        <v>63</v>
      </c>
      <c r="X51" s="33">
        <v>68</v>
      </c>
      <c r="Y51" s="33">
        <v>68</v>
      </c>
      <c r="Z51" s="33">
        <v>68</v>
      </c>
      <c r="AA51" s="33">
        <v>69</v>
      </c>
      <c r="AB51" s="26">
        <f>+SUM(X51:AA51)</f>
        <v>273</v>
      </c>
      <c r="AC51" s="33">
        <v>82</v>
      </c>
      <c r="AD51" s="33">
        <v>82</v>
      </c>
      <c r="AE51" s="33">
        <v>82</v>
      </c>
      <c r="AF51" s="33">
        <v>83</v>
      </c>
      <c r="AG51" s="26">
        <f>+SUM(AC51:AF51)</f>
        <v>329</v>
      </c>
      <c r="AH51" s="33">
        <v>97</v>
      </c>
      <c r="AI51" s="33">
        <v>97</v>
      </c>
      <c r="AJ51" s="33">
        <v>97</v>
      </c>
      <c r="AK51" s="33">
        <v>97</v>
      </c>
      <c r="AL51" s="26">
        <f>+SUM(AH51:AK51)</f>
        <v>388</v>
      </c>
      <c r="AM51" s="33">
        <v>28</v>
      </c>
      <c r="AN51" s="33">
        <v>28</v>
      </c>
      <c r="AO51" s="33">
        <v>28</v>
      </c>
      <c r="AP51" s="33">
        <v>28</v>
      </c>
      <c r="AQ51" s="26">
        <f>+SUM(AM51:AP51)</f>
        <v>112</v>
      </c>
      <c r="AR51" s="33">
        <v>28</v>
      </c>
      <c r="AS51" s="33">
        <v>28</v>
      </c>
      <c r="AT51" s="33">
        <v>28</v>
      </c>
      <c r="AU51" s="33">
        <v>28</v>
      </c>
      <c r="AV51" s="26">
        <f>+SUM(AR51:AU51)</f>
        <v>112</v>
      </c>
    </row>
    <row r="52" spans="2:48" outlineLevel="1" x14ac:dyDescent="0.3">
      <c r="B52" s="180" t="s">
        <v>49</v>
      </c>
      <c r="C52" s="201"/>
      <c r="D52" s="16">
        <f>AVERAGE(D50,7770)</f>
        <v>7823</v>
      </c>
      <c r="E52" s="16">
        <f>AVERAGE(E50,D50)</f>
        <v>7909.5</v>
      </c>
      <c r="F52" s="16">
        <f t="shared" ref="F52:G52" si="91">AVERAGE(F50,E50)</f>
        <v>7969.5</v>
      </c>
      <c r="G52" s="16">
        <f t="shared" si="91"/>
        <v>8044.5</v>
      </c>
      <c r="H52" s="26"/>
      <c r="I52" s="16">
        <f>AVERAGE(I50,G50)</f>
        <v>8138</v>
      </c>
      <c r="J52" s="16">
        <f>AVERAGE(J50,I50)</f>
        <v>8201.5</v>
      </c>
      <c r="K52" s="16">
        <f t="shared" ref="K52:L52" si="92">AVERAGE(K50,J50)</f>
        <v>8219</v>
      </c>
      <c r="L52" s="16">
        <f t="shared" si="92"/>
        <v>7524.5</v>
      </c>
      <c r="M52" s="6"/>
      <c r="N52" s="16">
        <f>AVERAGE(N50,L50)</f>
        <v>7555</v>
      </c>
      <c r="O52" s="16">
        <f>AVERAGE(O50,N50)</f>
        <v>8289.5</v>
      </c>
      <c r="P52" s="16">
        <f t="shared" ref="P52:Q52" si="93">AVERAGE(P50,O50)</f>
        <v>8307.5</v>
      </c>
      <c r="Q52" s="16">
        <f t="shared" si="93"/>
        <v>7640</v>
      </c>
      <c r="R52" s="6"/>
      <c r="S52" s="16">
        <f>AVERAGE(S50,Q50)</f>
        <v>6976.5</v>
      </c>
      <c r="T52" s="16">
        <f>AVERAGE(T50,S50)</f>
        <v>6980</v>
      </c>
      <c r="U52" s="16">
        <f t="shared" ref="U52:V52" si="94">AVERAGE(U50,T50)</f>
        <v>6986</v>
      </c>
      <c r="V52" s="16">
        <f t="shared" si="94"/>
        <v>7014</v>
      </c>
      <c r="W52" s="130"/>
      <c r="X52" s="16">
        <f>AVERAGE(X50,V50)</f>
        <v>7062</v>
      </c>
      <c r="Y52" s="16">
        <f>AVERAGE(Y50,X50)</f>
        <v>7130</v>
      </c>
      <c r="Z52" s="16">
        <f t="shared" ref="Z52:AA52" si="95">AVERAGE(Z50,Y50)</f>
        <v>7198</v>
      </c>
      <c r="AA52" s="16">
        <f t="shared" si="95"/>
        <v>7266.5</v>
      </c>
      <c r="AB52" s="6"/>
      <c r="AC52" s="16">
        <f>AVERAGE(AC50,AA50)</f>
        <v>7342</v>
      </c>
      <c r="AD52" s="16">
        <f>AVERAGE(AD50,AC50)</f>
        <v>7424</v>
      </c>
      <c r="AE52" s="16">
        <f t="shared" ref="AE52:AF52" si="96">AVERAGE(AE50,AD50)</f>
        <v>7506</v>
      </c>
      <c r="AF52" s="16">
        <f t="shared" si="96"/>
        <v>7588.5</v>
      </c>
      <c r="AG52" s="6"/>
      <c r="AH52" s="16">
        <f>AVERAGE(AH50,AF50)</f>
        <v>7678.5</v>
      </c>
      <c r="AI52" s="16">
        <f>AVERAGE(AI50,AH50)</f>
        <v>7775.5</v>
      </c>
      <c r="AJ52" s="16">
        <f t="shared" ref="AJ52:AK52" si="97">AVERAGE(AJ50,AI50)</f>
        <v>7872.5</v>
      </c>
      <c r="AK52" s="16">
        <f t="shared" si="97"/>
        <v>7969.5</v>
      </c>
      <c r="AL52" s="6"/>
      <c r="AM52" s="16">
        <f>AVERAGE(AM50,AK50)</f>
        <v>8032</v>
      </c>
      <c r="AN52" s="16">
        <f>AVERAGE(AN50,AM50)</f>
        <v>8060</v>
      </c>
      <c r="AO52" s="16">
        <f t="shared" ref="AO52:AP52" si="98">AVERAGE(AO50,AN50)</f>
        <v>8088</v>
      </c>
      <c r="AP52" s="16">
        <f t="shared" si="98"/>
        <v>8116</v>
      </c>
      <c r="AQ52" s="6"/>
      <c r="AR52" s="16">
        <f>AVERAGE(AR50,AP50)</f>
        <v>8144</v>
      </c>
      <c r="AS52" s="16">
        <f>AVERAGE(AS50,AR50)</f>
        <v>8172</v>
      </c>
      <c r="AT52" s="16">
        <f t="shared" ref="AT52:AU52" si="99">AVERAGE(AT50,AS50)</f>
        <v>8200</v>
      </c>
      <c r="AU52" s="16">
        <f t="shared" si="99"/>
        <v>8228</v>
      </c>
      <c r="AV52" s="6"/>
    </row>
    <row r="53" spans="2:48" outlineLevel="1" x14ac:dyDescent="0.3">
      <c r="B53" s="180" t="s">
        <v>202</v>
      </c>
      <c r="C53" s="201"/>
      <c r="D53" s="43">
        <f>+D54/D52</f>
        <v>6.5780391154288645E-2</v>
      </c>
      <c r="E53" s="43">
        <f>+E54/E52</f>
        <v>5.8549845122953414E-2</v>
      </c>
      <c r="F53" s="43">
        <f>+F54/F52</f>
        <v>6.2274923144488362E-2</v>
      </c>
      <c r="G53" s="114">
        <f t="shared" ref="G53:S53" si="100">+G54/G52</f>
        <v>6.016533034992852E-2</v>
      </c>
      <c r="H53" s="127"/>
      <c r="I53" s="114">
        <f t="shared" si="100"/>
        <v>6.6023593020398133E-2</v>
      </c>
      <c r="J53" s="114">
        <f t="shared" si="100"/>
        <v>5.6599402548314331E-2</v>
      </c>
      <c r="K53" s="114">
        <f t="shared" si="100"/>
        <v>2.8653120817617714E-2</v>
      </c>
      <c r="L53" s="114">
        <f t="shared" si="100"/>
        <v>4.4773739118878331E-2</v>
      </c>
      <c r="M53" s="6"/>
      <c r="N53" s="114">
        <f t="shared" si="100"/>
        <v>5.5089344804765052E-2</v>
      </c>
      <c r="O53" s="114">
        <f t="shared" si="100"/>
        <v>4.7554134748778572E-2</v>
      </c>
      <c r="P53" s="114">
        <f t="shared" si="100"/>
        <v>5.6394823954258204E-2</v>
      </c>
      <c r="Q53" s="114">
        <f t="shared" si="100"/>
        <v>6.6295811518324602E-2</v>
      </c>
      <c r="R53" s="6"/>
      <c r="S53" s="114">
        <f t="shared" si="100"/>
        <v>7.3948254855586606E-2</v>
      </c>
      <c r="T53" s="114">
        <f>+T54/T52</f>
        <v>7.2636103151862461E-2</v>
      </c>
      <c r="U53" s="114">
        <f>+U54/U52</f>
        <v>7.7898654451760668E-2</v>
      </c>
      <c r="V53" s="62">
        <f>Q53*1.1</f>
        <v>7.2925392670157074E-2</v>
      </c>
      <c r="W53" s="130"/>
      <c r="X53" s="62">
        <f>S53*(1.1+0.015)</f>
        <v>8.245230416397907E-2</v>
      </c>
      <c r="Y53" s="62">
        <f>T53*(1.1+0.015)</f>
        <v>8.0989255014326647E-2</v>
      </c>
      <c r="Z53" s="62">
        <f>U53*(1.05+0.015)</f>
        <v>8.2962066991125114E-2</v>
      </c>
      <c r="AA53" s="62">
        <f>V53*(1.05+0.015)</f>
        <v>7.7665543193717282E-2</v>
      </c>
      <c r="AB53" s="378"/>
      <c r="AC53" s="62">
        <f>X53*(1.05+0.015)</f>
        <v>8.7811703934637705E-2</v>
      </c>
      <c r="AD53" s="62">
        <f>Y53*(1.05+0.015)</f>
        <v>8.6253556590257879E-2</v>
      </c>
      <c r="AE53" s="62">
        <f>Z53*(1.05+0.015)</f>
        <v>8.8354601345548248E-2</v>
      </c>
      <c r="AF53" s="62">
        <f>AA53*(1.05+0.015)</f>
        <v>8.27138035013089E-2</v>
      </c>
      <c r="AG53" s="378"/>
      <c r="AH53" s="62">
        <f>AC53*(1.07+0.015)</f>
        <v>9.5275698769081901E-2</v>
      </c>
      <c r="AI53" s="62">
        <f>AD53*(1.07+0.015)</f>
        <v>9.35851089004298E-2</v>
      </c>
      <c r="AJ53" s="62">
        <f>AE53*(1.07+0.015)</f>
        <v>9.5864742459919841E-2</v>
      </c>
      <c r="AK53" s="62">
        <f>AF53*(1.07+0.015)</f>
        <v>8.9744476798920156E-2</v>
      </c>
      <c r="AL53" s="379"/>
      <c r="AM53" s="219">
        <f>AH53*1.05</f>
        <v>0.100039483707536</v>
      </c>
      <c r="AN53" s="219">
        <f>AI53*1.05</f>
        <v>9.8264364345451299E-2</v>
      </c>
      <c r="AO53" s="219">
        <f>AJ53*1.05</f>
        <v>0.10065797958291584</v>
      </c>
      <c r="AP53" s="219">
        <f>AK53*1.05</f>
        <v>9.423170063886617E-2</v>
      </c>
      <c r="AQ53" s="97"/>
      <c r="AR53" s="219">
        <f>AM53*1.03</f>
        <v>0.10304066821876208</v>
      </c>
      <c r="AS53" s="219">
        <f>AN53*1.03</f>
        <v>0.10121229527581484</v>
      </c>
      <c r="AT53" s="219">
        <f>AO53*1.03</f>
        <v>0.10367771897040332</v>
      </c>
      <c r="AU53" s="219">
        <f>AP53*1.03</f>
        <v>9.7058651658032152E-2</v>
      </c>
      <c r="AV53" s="6"/>
    </row>
    <row r="54" spans="2:48" s="8" customFormat="1" outlineLevel="1" x14ac:dyDescent="0.3">
      <c r="B54" s="453" t="s">
        <v>178</v>
      </c>
      <c r="C54" s="454"/>
      <c r="D54" s="115">
        <v>514.6</v>
      </c>
      <c r="E54" s="115">
        <v>463.1</v>
      </c>
      <c r="F54" s="115">
        <v>496.3</v>
      </c>
      <c r="G54" s="115">
        <v>484</v>
      </c>
      <c r="H54" s="153"/>
      <c r="I54" s="115">
        <v>537.29999999999995</v>
      </c>
      <c r="J54" s="115">
        <v>464.2</v>
      </c>
      <c r="K54" s="115">
        <v>235.5</v>
      </c>
      <c r="L54" s="72">
        <v>336.9</v>
      </c>
      <c r="M54" s="73"/>
      <c r="N54" s="72">
        <v>416.2</v>
      </c>
      <c r="O54" s="72">
        <v>394.2</v>
      </c>
      <c r="P54" s="72">
        <v>468.5</v>
      </c>
      <c r="Q54" s="115">
        <v>506.5</v>
      </c>
      <c r="R54" s="73"/>
      <c r="S54" s="72">
        <v>515.9</v>
      </c>
      <c r="T54" s="72">
        <v>507</v>
      </c>
      <c r="U54" s="72">
        <v>544.20000000000005</v>
      </c>
      <c r="V54" s="72">
        <f t="shared" ref="V54" si="101">+V52*V53</f>
        <v>511.49870418848172</v>
      </c>
      <c r="W54" s="213">
        <f>SUM(S54:V54)</f>
        <v>2078.5987041884819</v>
      </c>
      <c r="X54" s="72">
        <f>+X52*X53</f>
        <v>582.27817200602021</v>
      </c>
      <c r="Y54" s="72">
        <f>+Y52*Y53</f>
        <v>577.45338825214901</v>
      </c>
      <c r="Z54" s="72">
        <f t="shared" ref="Z54:AA54" si="102">+Z52*Z53</f>
        <v>597.16095820211854</v>
      </c>
      <c r="AA54" s="72">
        <f t="shared" si="102"/>
        <v>564.35666961714662</v>
      </c>
      <c r="AB54" s="73">
        <f>SUM(X54:AA54)</f>
        <v>2321.2491880774346</v>
      </c>
      <c r="AC54" s="72">
        <f>+AC52*AC53</f>
        <v>644.71353028811006</v>
      </c>
      <c r="AD54" s="72">
        <f>+AD52*AD53</f>
        <v>640.3464041260745</v>
      </c>
      <c r="AE54" s="72">
        <f t="shared" ref="AE54:AF54" si="103">+AE52*AE53</f>
        <v>663.18963769968514</v>
      </c>
      <c r="AF54" s="72">
        <f t="shared" si="103"/>
        <v>627.67369786968254</v>
      </c>
      <c r="AG54" s="73">
        <f>SUM(AC54:AF54)</f>
        <v>2575.9232699835525</v>
      </c>
      <c r="AH54" s="72">
        <f>+AH52*AH53</f>
        <v>731.57445299839537</v>
      </c>
      <c r="AI54" s="72">
        <f>+AI52*AI53</f>
        <v>727.67101425529188</v>
      </c>
      <c r="AJ54" s="72">
        <f t="shared" ref="AJ54:AK54" si="104">+AJ52*AJ53</f>
        <v>754.69518501571895</v>
      </c>
      <c r="AK54" s="72">
        <f t="shared" si="104"/>
        <v>715.21860784899422</v>
      </c>
      <c r="AL54" s="73">
        <f>SUM(AH54:AK54)</f>
        <v>2929.1592601184002</v>
      </c>
      <c r="AM54" s="72">
        <f>+AM52*AM53</f>
        <v>803.51713313892913</v>
      </c>
      <c r="AN54" s="72">
        <f>+AN52*AN53</f>
        <v>792.0107766243375</v>
      </c>
      <c r="AO54" s="72">
        <f t="shared" ref="AO54:AP54" si="105">+AO52*AO53</f>
        <v>814.12173886662333</v>
      </c>
      <c r="AP54" s="72">
        <f t="shared" si="105"/>
        <v>764.78448238503779</v>
      </c>
      <c r="AQ54" s="73">
        <f>SUM(AM54:AP54)</f>
        <v>3174.4341310149275</v>
      </c>
      <c r="AR54" s="72">
        <f>+AR52*AR53</f>
        <v>839.16320197359835</v>
      </c>
      <c r="AS54" s="72">
        <f>+AS52*AS53</f>
        <v>827.10687699395885</v>
      </c>
      <c r="AT54" s="72">
        <f t="shared" ref="AT54:AU54" si="106">+AT52*AT53</f>
        <v>850.15729555730718</v>
      </c>
      <c r="AU54" s="72">
        <f t="shared" si="106"/>
        <v>798.59858584228857</v>
      </c>
      <c r="AV54" s="73">
        <f>SUM(AR54:AU54)</f>
        <v>3315.0259603671534</v>
      </c>
    </row>
    <row r="55" spans="2:48" s="8" customFormat="1" outlineLevel="1" x14ac:dyDescent="0.3">
      <c r="B55" s="445" t="s">
        <v>179</v>
      </c>
      <c r="C55" s="446"/>
      <c r="D55" s="103">
        <v>5.7</v>
      </c>
      <c r="E55" s="103">
        <v>1.4</v>
      </c>
      <c r="F55" s="103">
        <v>2.6</v>
      </c>
      <c r="G55" s="103">
        <v>3.2</v>
      </c>
      <c r="H55" s="154"/>
      <c r="I55" s="103">
        <v>2.6</v>
      </c>
      <c r="J55" s="103">
        <v>2.2000000000000002</v>
      </c>
      <c r="K55" s="103">
        <v>1.1000000000000001</v>
      </c>
      <c r="L55" s="50">
        <v>1.7</v>
      </c>
      <c r="M55" s="97"/>
      <c r="N55" s="50">
        <v>2.2000000000000002</v>
      </c>
      <c r="O55" s="50">
        <v>2</v>
      </c>
      <c r="P55" s="50">
        <v>2</v>
      </c>
      <c r="Q55" s="103">
        <v>2.2000000000000002</v>
      </c>
      <c r="R55" s="191"/>
      <c r="S55" s="50">
        <v>2.2999999999999998</v>
      </c>
      <c r="T55" s="50">
        <v>2.4</v>
      </c>
      <c r="U55" s="50">
        <v>1</v>
      </c>
      <c r="V55" s="50">
        <f t="shared" ref="V55" si="107">+Q55*(1+V56)</f>
        <v>1.9800000000000002</v>
      </c>
      <c r="W55" s="166">
        <f>SUM(S55:V55)</f>
        <v>7.68</v>
      </c>
      <c r="X55" s="50">
        <f>+S55*(1+X56)</f>
        <v>1.9549999999999998</v>
      </c>
      <c r="Y55" s="50">
        <f>+T55*(1+Y56)</f>
        <v>1.968</v>
      </c>
      <c r="Z55" s="50">
        <f>+U55*(1+Z56)</f>
        <v>1.95</v>
      </c>
      <c r="AA55" s="50">
        <f t="shared" ref="AA55" si="108">+V55*(1+AA56)</f>
        <v>1.9800000000000002</v>
      </c>
      <c r="AB55" s="191">
        <f>SUM(X55:AA55)</f>
        <v>7.8530000000000006</v>
      </c>
      <c r="AC55" s="50">
        <f>+X55*(1+AC56)</f>
        <v>1.9549999999999998</v>
      </c>
      <c r="AD55" s="50">
        <f>+Y55*(1+AD56)</f>
        <v>1.968</v>
      </c>
      <c r="AE55" s="50">
        <f>+Z55*(1+AE56)</f>
        <v>1.95</v>
      </c>
      <c r="AF55" s="50">
        <f t="shared" ref="AF55" si="109">+AA55*(1+AF56)</f>
        <v>1.9800000000000002</v>
      </c>
      <c r="AG55" s="191">
        <f>SUM(AC55:AF55)</f>
        <v>7.8530000000000006</v>
      </c>
      <c r="AH55" s="50">
        <f>+AC55*(1+AH56)</f>
        <v>1.9549999999999998</v>
      </c>
      <c r="AI55" s="50">
        <f>+AD55*(1+AI56)</f>
        <v>1.968</v>
      </c>
      <c r="AJ55" s="50">
        <f>+AE55*(1+AJ56)</f>
        <v>1.95</v>
      </c>
      <c r="AK55" s="50">
        <f t="shared" ref="AK55" si="110">+AF55*(1+AK56)</f>
        <v>1.9800000000000002</v>
      </c>
      <c r="AL55" s="191">
        <f>SUM(AH55:AK55)</f>
        <v>7.8530000000000006</v>
      </c>
      <c r="AM55" s="50">
        <f>+AH55*(1+AM56)</f>
        <v>1.9549999999999998</v>
      </c>
      <c r="AN55" s="50">
        <f>+AI55*(1+AN56)</f>
        <v>1.968</v>
      </c>
      <c r="AO55" s="50">
        <f>+AJ55*(1+AO56)</f>
        <v>1.95</v>
      </c>
      <c r="AP55" s="50">
        <f t="shared" ref="AP55" si="111">+AK55*(1+AP56)</f>
        <v>1.9800000000000002</v>
      </c>
      <c r="AQ55" s="191">
        <f>SUM(AM55:AP55)</f>
        <v>7.8530000000000006</v>
      </c>
      <c r="AR55" s="50">
        <f>+AM55*(1+AR56)</f>
        <v>1.9549999999999998</v>
      </c>
      <c r="AS55" s="50">
        <f>+AN55*(1+AS56)</f>
        <v>1.968</v>
      </c>
      <c r="AT55" s="50">
        <f>+AO55*(1+AT56)</f>
        <v>1.95</v>
      </c>
      <c r="AU55" s="50">
        <f t="shared" ref="AU55" si="112">+AP55*(1+AU56)</f>
        <v>1.9800000000000002</v>
      </c>
      <c r="AV55" s="191">
        <f>SUM(AR55:AU55)</f>
        <v>7.8530000000000006</v>
      </c>
    </row>
    <row r="56" spans="2:48" outlineLevel="1" x14ac:dyDescent="0.3">
      <c r="B56" s="69" t="s">
        <v>50</v>
      </c>
      <c r="C56" s="70"/>
      <c r="D56" s="120"/>
      <c r="E56" s="120"/>
      <c r="F56" s="120"/>
      <c r="G56" s="120"/>
      <c r="H56" s="155"/>
      <c r="I56" s="120">
        <f>I55/D55-1</f>
        <v>-0.54385964912280704</v>
      </c>
      <c r="J56" s="120">
        <f t="shared" ref="J56" si="113">J55/E55-1</f>
        <v>0.57142857142857162</v>
      </c>
      <c r="K56" s="120">
        <f>K55/F55-1</f>
        <v>-0.57692307692307687</v>
      </c>
      <c r="L56" s="120">
        <f>L55/G55-1</f>
        <v>-0.46875</v>
      </c>
      <c r="M56" s="58"/>
      <c r="N56" s="120">
        <f>N55/I55-1</f>
        <v>-0.15384615384615385</v>
      </c>
      <c r="O56" s="120">
        <f t="shared" ref="O56" si="114">O55/J55-1</f>
        <v>-9.0909090909090939E-2</v>
      </c>
      <c r="P56" s="120">
        <f>P55/K55-1</f>
        <v>0.81818181818181812</v>
      </c>
      <c r="Q56" s="120">
        <f>Q55/L55-1</f>
        <v>0.29411764705882359</v>
      </c>
      <c r="R56" s="58"/>
      <c r="S56" s="120">
        <f>S55/N55-1</f>
        <v>4.5454545454545192E-2</v>
      </c>
      <c r="T56" s="120">
        <f t="shared" ref="T56:U56" si="115">T55/O55-1</f>
        <v>0.19999999999999996</v>
      </c>
      <c r="U56" s="120">
        <f t="shared" si="115"/>
        <v>-0.5</v>
      </c>
      <c r="V56" s="71">
        <v>-0.1</v>
      </c>
      <c r="W56" s="155"/>
      <c r="X56" s="71">
        <v>-0.15</v>
      </c>
      <c r="Y56" s="71">
        <v>-0.18</v>
      </c>
      <c r="Z56" s="71">
        <v>0.95</v>
      </c>
      <c r="AA56" s="71">
        <v>0</v>
      </c>
      <c r="AB56" s="374"/>
      <c r="AC56" s="71">
        <v>0</v>
      </c>
      <c r="AD56" s="71">
        <v>0</v>
      </c>
      <c r="AE56" s="71">
        <v>0</v>
      </c>
      <c r="AF56" s="71">
        <v>0</v>
      </c>
      <c r="AG56" s="58"/>
      <c r="AH56" s="71">
        <v>0</v>
      </c>
      <c r="AI56" s="71">
        <v>0</v>
      </c>
      <c r="AJ56" s="71">
        <v>0</v>
      </c>
      <c r="AK56" s="71">
        <v>0</v>
      </c>
      <c r="AL56" s="58"/>
      <c r="AM56" s="71">
        <v>0</v>
      </c>
      <c r="AN56" s="71">
        <v>0</v>
      </c>
      <c r="AO56" s="71">
        <v>0</v>
      </c>
      <c r="AP56" s="71">
        <v>0</v>
      </c>
      <c r="AQ56" s="58"/>
      <c r="AR56" s="71">
        <v>0</v>
      </c>
      <c r="AS56" s="71">
        <v>0</v>
      </c>
      <c r="AT56" s="71">
        <v>0</v>
      </c>
      <c r="AU56" s="71">
        <v>0</v>
      </c>
      <c r="AV56" s="58"/>
    </row>
    <row r="57" spans="2:48" outlineLevel="1" x14ac:dyDescent="0.3">
      <c r="B57" s="180" t="s">
        <v>180</v>
      </c>
      <c r="C57" s="207"/>
      <c r="D57" s="101">
        <f t="shared" ref="D57:G58" si="116">+D50+D41</f>
        <v>17653</v>
      </c>
      <c r="E57" s="101">
        <f t="shared" si="116"/>
        <v>17719</v>
      </c>
      <c r="F57" s="101">
        <f t="shared" si="116"/>
        <v>17853</v>
      </c>
      <c r="G57" s="101">
        <f t="shared" si="116"/>
        <v>18067</v>
      </c>
      <c r="H57" s="122"/>
      <c r="I57" s="101">
        <f t="shared" ref="I57:L58" si="117">+I50+I41</f>
        <v>18203</v>
      </c>
      <c r="J57" s="101">
        <f t="shared" si="117"/>
        <v>18271</v>
      </c>
      <c r="K57" s="101">
        <f t="shared" si="117"/>
        <v>18235</v>
      </c>
      <c r="L57" s="16">
        <f t="shared" si="117"/>
        <v>16940</v>
      </c>
      <c r="M57" s="6"/>
      <c r="N57" s="16">
        <f t="shared" ref="N57:Q58" si="118">+N50+N41</f>
        <v>18308</v>
      </c>
      <c r="O57" s="16">
        <f t="shared" si="118"/>
        <v>18120</v>
      </c>
      <c r="P57" s="16">
        <f t="shared" si="118"/>
        <v>18175</v>
      </c>
      <c r="Q57" s="101">
        <f t="shared" si="118"/>
        <v>16826</v>
      </c>
      <c r="R57" s="6"/>
      <c r="S57" s="16">
        <f t="shared" ref="S57:V58" si="119">+S50+S41</f>
        <v>16888</v>
      </c>
      <c r="T57" s="16">
        <f t="shared" si="119"/>
        <v>16926</v>
      </c>
      <c r="U57" s="16">
        <f t="shared" si="119"/>
        <v>17050</v>
      </c>
      <c r="V57" s="16">
        <f t="shared" si="119"/>
        <v>17174</v>
      </c>
      <c r="W57" s="254">
        <f>W58/Q57</f>
        <v>2.0682277427790323E-2</v>
      </c>
      <c r="X57" s="16">
        <f t="shared" ref="X57:AA58" si="120">+X50+X41</f>
        <v>17302.5</v>
      </c>
      <c r="Y57" s="16">
        <f t="shared" si="120"/>
        <v>17431</v>
      </c>
      <c r="Z57" s="16">
        <f t="shared" si="120"/>
        <v>17559.5</v>
      </c>
      <c r="AA57" s="16">
        <f t="shared" si="120"/>
        <v>17689</v>
      </c>
      <c r="AB57" s="254">
        <f>AB58/V57</f>
        <v>2.9987189938278792E-2</v>
      </c>
      <c r="AC57" s="16">
        <f t="shared" ref="AC57:AF58" si="121">+AC50+AC41</f>
        <v>17843</v>
      </c>
      <c r="AD57" s="16">
        <f t="shared" si="121"/>
        <v>17997</v>
      </c>
      <c r="AE57" s="16">
        <f t="shared" si="121"/>
        <v>18152</v>
      </c>
      <c r="AF57" s="16">
        <f t="shared" si="121"/>
        <v>18308</v>
      </c>
      <c r="AG57" s="254">
        <f>AG58/AA57</f>
        <v>3.499349878455537E-2</v>
      </c>
      <c r="AH57" s="16">
        <f t="shared" ref="AH57:AK58" si="122">+AH50+AH41</f>
        <v>18491</v>
      </c>
      <c r="AI57" s="16">
        <f t="shared" si="122"/>
        <v>18674</v>
      </c>
      <c r="AJ57" s="16">
        <f t="shared" si="122"/>
        <v>18857</v>
      </c>
      <c r="AK57" s="16">
        <f t="shared" si="122"/>
        <v>19040</v>
      </c>
      <c r="AL57" s="254">
        <f>AL58/AF57</f>
        <v>3.9982521302162989E-2</v>
      </c>
      <c r="AM57" s="16">
        <f t="shared" ref="AM57:AP58" si="123">+AM50+AM41</f>
        <v>19164</v>
      </c>
      <c r="AN57" s="16">
        <f t="shared" si="123"/>
        <v>19288</v>
      </c>
      <c r="AO57" s="16">
        <f t="shared" si="123"/>
        <v>19412</v>
      </c>
      <c r="AP57" s="16">
        <f t="shared" si="123"/>
        <v>19536</v>
      </c>
      <c r="AQ57" s="254">
        <f>AQ58/AK57</f>
        <v>2.6050420168067228E-2</v>
      </c>
      <c r="AR57" s="16">
        <f t="shared" ref="AR57:AU58" si="124">+AR50+AR41</f>
        <v>19660</v>
      </c>
      <c r="AS57" s="16">
        <f t="shared" si="124"/>
        <v>19784</v>
      </c>
      <c r="AT57" s="16">
        <f t="shared" si="124"/>
        <v>19908</v>
      </c>
      <c r="AU57" s="16">
        <f t="shared" si="124"/>
        <v>20032</v>
      </c>
      <c r="AV57" s="254">
        <f>AV58/AP57</f>
        <v>2.5389025389025387E-2</v>
      </c>
    </row>
    <row r="58" spans="2:48" outlineLevel="1" x14ac:dyDescent="0.3">
      <c r="B58" s="180" t="s">
        <v>181</v>
      </c>
      <c r="C58" s="207"/>
      <c r="D58" s="101">
        <f t="shared" si="116"/>
        <v>193</v>
      </c>
      <c r="E58" s="101">
        <f t="shared" si="116"/>
        <v>66</v>
      </c>
      <c r="F58" s="101">
        <f t="shared" si="116"/>
        <v>134</v>
      </c>
      <c r="G58" s="101">
        <f t="shared" si="116"/>
        <v>214</v>
      </c>
      <c r="H58" s="122">
        <f>+H51+H42</f>
        <v>607</v>
      </c>
      <c r="I58" s="101">
        <f t="shared" si="117"/>
        <v>136</v>
      </c>
      <c r="J58" s="101">
        <f t="shared" si="117"/>
        <v>68</v>
      </c>
      <c r="K58" s="101">
        <f t="shared" si="117"/>
        <v>-36</v>
      </c>
      <c r="L58" s="16">
        <f t="shared" si="117"/>
        <v>124</v>
      </c>
      <c r="M58" s="122"/>
      <c r="N58" s="16">
        <f t="shared" si="118"/>
        <v>-46</v>
      </c>
      <c r="O58" s="16">
        <f t="shared" si="118"/>
        <v>-188</v>
      </c>
      <c r="P58" s="16">
        <f t="shared" si="118"/>
        <v>55</v>
      </c>
      <c r="Q58" s="101">
        <f t="shared" si="118"/>
        <v>74</v>
      </c>
      <c r="R58" s="122"/>
      <c r="S58" s="16">
        <f t="shared" si="119"/>
        <v>62</v>
      </c>
      <c r="T58" s="16">
        <f t="shared" si="119"/>
        <v>38</v>
      </c>
      <c r="U58" s="16">
        <f t="shared" si="119"/>
        <v>124</v>
      </c>
      <c r="V58" s="16">
        <f t="shared" si="119"/>
        <v>124</v>
      </c>
      <c r="W58" s="122">
        <f>+W51+W42</f>
        <v>348</v>
      </c>
      <c r="X58" s="16">
        <f t="shared" si="120"/>
        <v>128.5</v>
      </c>
      <c r="Y58" s="16">
        <f t="shared" si="120"/>
        <v>128.5</v>
      </c>
      <c r="Z58" s="16">
        <f t="shared" si="120"/>
        <v>128.5</v>
      </c>
      <c r="AA58" s="16">
        <f t="shared" si="120"/>
        <v>129.5</v>
      </c>
      <c r="AB58" s="122">
        <f>+AB51+AB42</f>
        <v>515</v>
      </c>
      <c r="AC58" s="16">
        <f t="shared" si="121"/>
        <v>154</v>
      </c>
      <c r="AD58" s="16">
        <f t="shared" si="121"/>
        <v>154</v>
      </c>
      <c r="AE58" s="16">
        <f t="shared" si="121"/>
        <v>155</v>
      </c>
      <c r="AF58" s="16">
        <f t="shared" si="121"/>
        <v>156</v>
      </c>
      <c r="AG58" s="122">
        <f>+AG51+AG42</f>
        <v>619</v>
      </c>
      <c r="AH58" s="16">
        <f t="shared" si="122"/>
        <v>183</v>
      </c>
      <c r="AI58" s="16">
        <f t="shared" si="122"/>
        <v>183</v>
      </c>
      <c r="AJ58" s="16">
        <f t="shared" si="122"/>
        <v>183</v>
      </c>
      <c r="AK58" s="16">
        <f t="shared" si="122"/>
        <v>183</v>
      </c>
      <c r="AL58" s="122">
        <f>+AL51+AL42</f>
        <v>732</v>
      </c>
      <c r="AM58" s="16">
        <f t="shared" si="123"/>
        <v>124</v>
      </c>
      <c r="AN58" s="16">
        <f t="shared" si="123"/>
        <v>124</v>
      </c>
      <c r="AO58" s="16">
        <f t="shared" si="123"/>
        <v>124</v>
      </c>
      <c r="AP58" s="16">
        <f t="shared" si="123"/>
        <v>124</v>
      </c>
      <c r="AQ58" s="122">
        <f>+AQ51+AQ42</f>
        <v>496</v>
      </c>
      <c r="AR58" s="16">
        <f t="shared" si="124"/>
        <v>124</v>
      </c>
      <c r="AS58" s="16">
        <f t="shared" si="124"/>
        <v>124</v>
      </c>
      <c r="AT58" s="16">
        <f t="shared" si="124"/>
        <v>124</v>
      </c>
      <c r="AU58" s="16">
        <f t="shared" si="124"/>
        <v>124</v>
      </c>
      <c r="AV58" s="122">
        <f>+AV51+AV42</f>
        <v>496</v>
      </c>
    </row>
    <row r="59" spans="2:48" outlineLevel="1" x14ac:dyDescent="0.3">
      <c r="B59" s="449" t="s">
        <v>182</v>
      </c>
      <c r="C59" s="450"/>
      <c r="D59" s="115">
        <f>+D55+D54+D45</f>
        <v>4612.5</v>
      </c>
      <c r="E59" s="115">
        <f>+E55+E54+E45</f>
        <v>4314.1000000000004</v>
      </c>
      <c r="F59" s="115">
        <f>+F55+F54+F45</f>
        <v>4681.0999999999995</v>
      </c>
      <c r="G59" s="115">
        <f>+G55+G54+G45</f>
        <v>4651.3999999999996</v>
      </c>
      <c r="H59" s="132">
        <f>SUM(D59:G59)</f>
        <v>18259.099999999999</v>
      </c>
      <c r="I59" s="115">
        <f>+I55+I54+I45</f>
        <v>5010.8999999999996</v>
      </c>
      <c r="J59" s="115">
        <f>+J55+J54+J45</f>
        <v>4330</v>
      </c>
      <c r="K59" s="115">
        <f>+K55+K54+K45</f>
        <v>2805.5</v>
      </c>
      <c r="L59" s="72">
        <f>+L55+L54+L45</f>
        <v>4213.9000000000005</v>
      </c>
      <c r="M59" s="97"/>
      <c r="N59" s="72">
        <f>+N55+N54+N45</f>
        <v>4703.2</v>
      </c>
      <c r="O59" s="72">
        <f>+O55+O54+O45</f>
        <v>4664.5999999999995</v>
      </c>
      <c r="P59" s="72">
        <f>+P55+P54+P45</f>
        <v>5400.3</v>
      </c>
      <c r="Q59" s="115">
        <f>+Q55+Q54+Q45</f>
        <v>5763</v>
      </c>
      <c r="R59" s="97"/>
      <c r="S59" s="72">
        <f>+S55+S54+S45</f>
        <v>5732.3</v>
      </c>
      <c r="T59" s="72">
        <f>+T55+T54+T45</f>
        <v>5445.7</v>
      </c>
      <c r="U59" s="72">
        <f>+U55+U54+U45</f>
        <v>6058.4</v>
      </c>
      <c r="V59" s="72">
        <f>+V55+V54+V45</f>
        <v>5948.1423230719047</v>
      </c>
      <c r="W59" s="97">
        <f>SUM(S59:V59)</f>
        <v>23184.542323071906</v>
      </c>
      <c r="X59" s="72">
        <f>+X55+X54+X45</f>
        <v>6410.8698665685424</v>
      </c>
      <c r="Y59" s="72">
        <f>+Y55+Y54+Y45</f>
        <v>6102.4254068000482</v>
      </c>
      <c r="Z59" s="72">
        <f>+Z55+Z54+Z45</f>
        <v>6643.9920435350523</v>
      </c>
      <c r="AA59" s="72">
        <f>+AA55+AA54+AA45</f>
        <v>6503.1355169029066</v>
      </c>
      <c r="AB59" s="97">
        <f>SUM(X59:AA59)</f>
        <v>25660.422833806551</v>
      </c>
      <c r="AC59" s="72">
        <f>+AC55+AC54+AC45</f>
        <v>7003.1119021478335</v>
      </c>
      <c r="AD59" s="72">
        <f>+AD55+AD54+AD45</f>
        <v>6673.2777899949178</v>
      </c>
      <c r="AE59" s="72">
        <f>+AE55+AE54+AE45</f>
        <v>7272.522378151094</v>
      </c>
      <c r="AF59" s="72">
        <f>+AF55+AF54+AF45</f>
        <v>7125.5542413334506</v>
      </c>
      <c r="AG59" s="97">
        <f>SUM(AC59:AF59)</f>
        <v>28074.466311627297</v>
      </c>
      <c r="AH59" s="72">
        <f>+AH55+AH54+AH45</f>
        <v>7826.7720554382731</v>
      </c>
      <c r="AI59" s="72">
        <f>+AI55+AI54+AI45</f>
        <v>7467.123210380174</v>
      </c>
      <c r="AJ59" s="72">
        <f>+AJ55+AJ54+AJ45</f>
        <v>8145.7759895797408</v>
      </c>
      <c r="AK59" s="72">
        <f>+AK55+AK54+AK45</f>
        <v>7988.7828668686116</v>
      </c>
      <c r="AL59" s="97">
        <f>SUM(AH59:AK59)</f>
        <v>31428.454122266798</v>
      </c>
      <c r="AM59" s="72">
        <f>+AM55+AM54+AM45</f>
        <v>8495.8280131370557</v>
      </c>
      <c r="AN59" s="72">
        <f>+AN55+AN54+AN45</f>
        <v>8103.341778440471</v>
      </c>
      <c r="AO59" s="72">
        <f>+AO55+AO54+AO45</f>
        <v>8837.480962868276</v>
      </c>
      <c r="AP59" s="72">
        <f>+AP55+AP54+AP45</f>
        <v>8665.4972189404671</v>
      </c>
      <c r="AQ59" s="97">
        <f>SUM(AM59:AP59)</f>
        <v>34102.147973386265</v>
      </c>
      <c r="AR59" s="72">
        <f>+AR55+AR54+AR45</f>
        <v>9036.953462767051</v>
      </c>
      <c r="AS59" s="72">
        <f>+AS55+AS54+AS45</f>
        <v>8616.629681857441</v>
      </c>
      <c r="AT59" s="72">
        <f>+AT55+AT54+AT45</f>
        <v>9395.869662579591</v>
      </c>
      <c r="AU59" s="72">
        <f>+AU55+AU54+AU45</f>
        <v>9211.331129108079</v>
      </c>
      <c r="AV59" s="97">
        <f>SUM(AR59:AU59)</f>
        <v>36260.78393631216</v>
      </c>
    </row>
    <row r="60" spans="2:48" outlineLevel="1" x14ac:dyDescent="0.3">
      <c r="B60" s="443" t="s">
        <v>100</v>
      </c>
      <c r="C60" s="444"/>
      <c r="D60" s="105">
        <v>1351.3</v>
      </c>
      <c r="E60" s="105">
        <v>1220.5</v>
      </c>
      <c r="F60" s="105">
        <v>1324</v>
      </c>
      <c r="G60" s="105">
        <v>1278.9000000000001</v>
      </c>
      <c r="H60" s="129"/>
      <c r="I60" s="105">
        <v>1388.4</v>
      </c>
      <c r="J60" s="105">
        <v>1248.2</v>
      </c>
      <c r="K60" s="105">
        <v>805.6</v>
      </c>
      <c r="L60" s="48">
        <v>1158.3</v>
      </c>
      <c r="M60" s="76"/>
      <c r="N60" s="48">
        <v>1276.2</v>
      </c>
      <c r="O60" s="48">
        <v>1227.5999999999999</v>
      </c>
      <c r="P60" s="48">
        <v>1416.2</v>
      </c>
      <c r="Q60" s="105">
        <v>1580.3</v>
      </c>
      <c r="R60" s="76"/>
      <c r="S60" s="48">
        <v>1629.4</v>
      </c>
      <c r="T60" s="48">
        <v>1564</v>
      </c>
      <c r="U60" s="48">
        <v>1713.2</v>
      </c>
      <c r="V60" s="48">
        <f t="shared" ref="V60:AA60" si="125">V61*V59</f>
        <v>1705.4205475878575</v>
      </c>
      <c r="W60" s="76">
        <f>SUM(S60:V60)</f>
        <v>6612.0205475878574</v>
      </c>
      <c r="X60" s="48">
        <f t="shared" si="125"/>
        <v>1854.3370910921337</v>
      </c>
      <c r="Y60" s="48">
        <f t="shared" si="125"/>
        <v>1767.8669925500492</v>
      </c>
      <c r="Z60" s="48">
        <f t="shared" si="125"/>
        <v>1895.4042441033332</v>
      </c>
      <c r="AA60" s="48">
        <f t="shared" si="125"/>
        <v>1799.5139653516296</v>
      </c>
      <c r="AB60" s="76">
        <f>SUM(X60:AA60)</f>
        <v>7317.1222930971462</v>
      </c>
      <c r="AC60" s="48">
        <f t="shared" ref="AC60:AF60" si="126">AC61*AC59</f>
        <v>1948.6082206478357</v>
      </c>
      <c r="AD60" s="48">
        <f t="shared" si="126"/>
        <v>1919.8958440572451</v>
      </c>
      <c r="AE60" s="48">
        <f t="shared" si="126"/>
        <v>2060.166919159572</v>
      </c>
      <c r="AF60" s="48">
        <f t="shared" si="126"/>
        <v>2035.8764379917586</v>
      </c>
      <c r="AG60" s="76">
        <f>SUM(AC60:AF60)</f>
        <v>7964.5474218564113</v>
      </c>
      <c r="AH60" s="48">
        <f t="shared" ref="AH60:AK60" si="127">AH61*AH59</f>
        <v>2162.1372125506364</v>
      </c>
      <c r="AI60" s="48">
        <f t="shared" si="127"/>
        <v>2133.3501903767083</v>
      </c>
      <c r="AJ60" s="48">
        <f t="shared" si="127"/>
        <v>2291.2514643247569</v>
      </c>
      <c r="AK60" s="48">
        <f t="shared" si="127"/>
        <v>2266.5360824742706</v>
      </c>
      <c r="AL60" s="76">
        <f>SUM(AH60:AK60)</f>
        <v>8853.2749497263721</v>
      </c>
      <c r="AM60" s="48">
        <f t="shared" ref="AM60:AP60" si="128">AM61*AM59</f>
        <v>2346.9631884667365</v>
      </c>
      <c r="AN60" s="48">
        <f t="shared" si="128"/>
        <v>2315.1172464507072</v>
      </c>
      <c r="AO60" s="48">
        <f t="shared" si="128"/>
        <v>2485.8148840597796</v>
      </c>
      <c r="AP60" s="48">
        <f t="shared" si="128"/>
        <v>2458.5299721642864</v>
      </c>
      <c r="AQ60" s="76">
        <f>SUM(AM60:AP60)</f>
        <v>9606.4252911415097</v>
      </c>
      <c r="AR60" s="48">
        <f t="shared" ref="AR60:AU60" si="129">AR61*AR59</f>
        <v>2496.4485015710407</v>
      </c>
      <c r="AS60" s="48">
        <f t="shared" si="129"/>
        <v>2461.7631254085427</v>
      </c>
      <c r="AT60" s="48">
        <f t="shared" si="129"/>
        <v>2642.8789780776606</v>
      </c>
      <c r="AU60" s="48">
        <f t="shared" si="129"/>
        <v>2613.3911410118808</v>
      </c>
      <c r="AV60" s="76">
        <f>SUM(AR60:AU60)</f>
        <v>10214.481746069125</v>
      </c>
    </row>
    <row r="61" spans="2:48" s="184" customFormat="1" outlineLevel="1" x14ac:dyDescent="0.3">
      <c r="B61" s="181" t="s">
        <v>151</v>
      </c>
      <c r="C61" s="185"/>
      <c r="D61" s="167">
        <f>D60/D59</f>
        <v>0.29296476964769647</v>
      </c>
      <c r="E61" s="167">
        <f t="shared" ref="E61:U61" si="130">E60/E59</f>
        <v>0.28290952921814511</v>
      </c>
      <c r="F61" s="167">
        <f t="shared" si="130"/>
        <v>0.28283950353549381</v>
      </c>
      <c r="G61" s="167">
        <f t="shared" si="130"/>
        <v>0.27494947757664362</v>
      </c>
      <c r="H61" s="186"/>
      <c r="I61" s="167">
        <f t="shared" si="130"/>
        <v>0.27707597437586068</v>
      </c>
      <c r="J61" s="167">
        <f t="shared" si="130"/>
        <v>0.28826789838337186</v>
      </c>
      <c r="K61" s="167">
        <f t="shared" si="130"/>
        <v>0.28715024059882377</v>
      </c>
      <c r="L61" s="187">
        <f t="shared" si="130"/>
        <v>0.27487600560051256</v>
      </c>
      <c r="M61" s="188"/>
      <c r="N61" s="187">
        <f t="shared" si="130"/>
        <v>0.27134716788569485</v>
      </c>
      <c r="O61" s="167">
        <f t="shared" si="130"/>
        <v>0.26317369120610556</v>
      </c>
      <c r="P61" s="167">
        <f t="shared" si="130"/>
        <v>0.26224469010980872</v>
      </c>
      <c r="Q61" s="167">
        <f t="shared" si="130"/>
        <v>0.27421481867083114</v>
      </c>
      <c r="R61" s="188"/>
      <c r="S61" s="187">
        <f t="shared" si="130"/>
        <v>0.28424890532595992</v>
      </c>
      <c r="T61" s="167">
        <f t="shared" si="130"/>
        <v>0.28719907449914611</v>
      </c>
      <c r="U61" s="167">
        <f t="shared" si="130"/>
        <v>0.28278093225934242</v>
      </c>
      <c r="V61" s="189">
        <f>Q61+1.25%</f>
        <v>0.28671481867083115</v>
      </c>
      <c r="W61" s="188">
        <f t="shared" ref="W61" si="131">W60/W59</f>
        <v>0.2851909024319173</v>
      </c>
      <c r="X61" s="189">
        <f>S61+0.5%</f>
        <v>0.28924890532595993</v>
      </c>
      <c r="Y61" s="189">
        <f>T61+0.25%</f>
        <v>0.28969907449914611</v>
      </c>
      <c r="Z61" s="189">
        <f>U61+0.25%</f>
        <v>0.28528093225934242</v>
      </c>
      <c r="AA61" s="189">
        <f>V61-1%</f>
        <v>0.27671481867083114</v>
      </c>
      <c r="AB61" s="188">
        <f t="shared" ref="AB61" si="132">AB60/AB59</f>
        <v>0.2851520546051618</v>
      </c>
      <c r="AC61" s="189">
        <f>X61-1%-0.1%</f>
        <v>0.27824890532595992</v>
      </c>
      <c r="AD61" s="189">
        <f>Y61-0.1%-0.1%</f>
        <v>0.28769907449914611</v>
      </c>
      <c r="AE61" s="189">
        <f>Z61-0.1%-0.1%</f>
        <v>0.28328093225934242</v>
      </c>
      <c r="AF61" s="189">
        <f>AA61+1%-0.1%</f>
        <v>0.28571481867083115</v>
      </c>
      <c r="AG61" s="188">
        <f t="shared" ref="AG61" si="133">AG60/AG59</f>
        <v>0.2836936358272934</v>
      </c>
      <c r="AH61" s="189">
        <f>AC61-0.1%-0.1%</f>
        <v>0.27624890532595991</v>
      </c>
      <c r="AI61" s="189">
        <f>AD61-0.1%-0.1%</f>
        <v>0.28569907449914611</v>
      </c>
      <c r="AJ61" s="189">
        <f>AE61-0.1%-0.1%</f>
        <v>0.28128093225934242</v>
      </c>
      <c r="AK61" s="189">
        <f>AF61-0.1%-0.1%</f>
        <v>0.28371481867083115</v>
      </c>
      <c r="AL61" s="188">
        <f t="shared" ref="AL61" si="134">AL60/AL59</f>
        <v>0.28169616346016524</v>
      </c>
      <c r="AM61" s="189">
        <f>AH61</f>
        <v>0.27624890532595991</v>
      </c>
      <c r="AN61" s="189">
        <f t="shared" ref="AN61:AP61" si="135">AI61</f>
        <v>0.28569907449914611</v>
      </c>
      <c r="AO61" s="189">
        <f t="shared" si="135"/>
        <v>0.28128093225934242</v>
      </c>
      <c r="AP61" s="189">
        <f t="shared" si="135"/>
        <v>0.28371481867083115</v>
      </c>
      <c r="AQ61" s="188">
        <f t="shared" ref="AQ61" si="136">AQ60/AQ59</f>
        <v>0.28169560752121781</v>
      </c>
      <c r="AR61" s="189">
        <f>AM61</f>
        <v>0.27624890532595991</v>
      </c>
      <c r="AS61" s="189">
        <f t="shared" ref="AS61:AU61" si="137">AN61</f>
        <v>0.28569907449914611</v>
      </c>
      <c r="AT61" s="189">
        <f t="shared" si="137"/>
        <v>0.28128093225934242</v>
      </c>
      <c r="AU61" s="189">
        <f t="shared" si="137"/>
        <v>0.28371481867083115</v>
      </c>
      <c r="AV61" s="188">
        <f t="shared" ref="AV61" si="138">AV60/AV59</f>
        <v>0.28169500593284663</v>
      </c>
    </row>
    <row r="62" spans="2:48" outlineLevel="1" x14ac:dyDescent="0.3">
      <c r="B62" s="180" t="s">
        <v>32</v>
      </c>
      <c r="C62" s="18"/>
      <c r="D62" s="48">
        <v>1983.1</v>
      </c>
      <c r="E62" s="48">
        <v>1935.7</v>
      </c>
      <c r="F62" s="48">
        <v>2034</v>
      </c>
      <c r="G62" s="48">
        <v>2112.1</v>
      </c>
      <c r="H62" s="49"/>
      <c r="I62" s="48">
        <v>2214.4</v>
      </c>
      <c r="J62" s="48">
        <v>2158.6</v>
      </c>
      <c r="K62" s="48">
        <v>2054.4</v>
      </c>
      <c r="L62" s="48">
        <v>2060.6999999999998</v>
      </c>
      <c r="M62" s="165"/>
      <c r="N62" s="48">
        <v>2238.8000000000002</v>
      </c>
      <c r="O62" s="48">
        <v>2203.1</v>
      </c>
      <c r="P62" s="48">
        <v>2346.8000000000002</v>
      </c>
      <c r="Q62" s="105">
        <v>2570.8000000000002</v>
      </c>
      <c r="R62" s="49"/>
      <c r="S62" s="48">
        <v>2702.4</v>
      </c>
      <c r="T62" s="48">
        <v>2625.4</v>
      </c>
      <c r="U62" s="48">
        <v>2670</v>
      </c>
      <c r="V62" s="48">
        <f>V63*V45</f>
        <v>2726.9807861340696</v>
      </c>
      <c r="W62" s="49">
        <f>SUM(S62:V62)</f>
        <v>10724.78078613407</v>
      </c>
      <c r="X62" s="48">
        <f>X63*X45</f>
        <v>3049.0029603059684</v>
      </c>
      <c r="Y62" s="48">
        <f>Y63*Y45</f>
        <v>2951.2494706840243</v>
      </c>
      <c r="Z62" s="48">
        <f>Z63*Z45</f>
        <v>2987.9378367981403</v>
      </c>
      <c r="AA62" s="48">
        <f>AA63*AA45</f>
        <v>2978.9399166194166</v>
      </c>
      <c r="AB62" s="49">
        <f>SUM(X62:AA62)</f>
        <v>11967.13018440755</v>
      </c>
      <c r="AC62" s="48">
        <f>AC63*AC45</f>
        <v>3256.3230048910514</v>
      </c>
      <c r="AD62" s="48">
        <f>AD63*AD45</f>
        <v>3210.61860007311</v>
      </c>
      <c r="AE62" s="48">
        <f>AE63*AE45</f>
        <v>3252.7632767181522</v>
      </c>
      <c r="AF62" s="48">
        <f>AF63*AF45</f>
        <v>3317.9465270322157</v>
      </c>
      <c r="AG62" s="49">
        <f>SUM(AC62:AF62)</f>
        <v>13037.65140871453</v>
      </c>
      <c r="AH62" s="48">
        <f>AH63*AH45</f>
        <v>3619.5891522614579</v>
      </c>
      <c r="AI62" s="48">
        <f>AI63*AI45</f>
        <v>3573.2641135365088</v>
      </c>
      <c r="AJ62" s="48">
        <f>AJ63*AJ45</f>
        <v>3622.833523887447</v>
      </c>
      <c r="AK62" s="48">
        <f>AK63*AK45</f>
        <v>3699.603557837368</v>
      </c>
      <c r="AL62" s="49">
        <f>SUM(AH62:AK62)</f>
        <v>14515.290347522781</v>
      </c>
      <c r="AM62" s="48">
        <f>AM63*AM45</f>
        <v>3924.2882670749987</v>
      </c>
      <c r="AN62" s="48">
        <f>AN63*AN45</f>
        <v>3876.5633798774952</v>
      </c>
      <c r="AO62" s="48">
        <f>AO63*AO45</f>
        <v>3932.8347290297852</v>
      </c>
      <c r="AP62" s="48">
        <f>AP63*AP45</f>
        <v>4018.6813070783014</v>
      </c>
      <c r="AQ62" s="49">
        <f>SUM(AM62:AP62)</f>
        <v>15752.36768306058</v>
      </c>
      <c r="AR62" s="48">
        <f>AR63*AR45</f>
        <v>4182.2277999466442</v>
      </c>
      <c r="AS62" s="48">
        <f>AS63*AS45</f>
        <v>4130.1751969113939</v>
      </c>
      <c r="AT62" s="48">
        <f>AT63*AT45</f>
        <v>4188.9404237177505</v>
      </c>
      <c r="AU62" s="48">
        <f>AU63*AU45</f>
        <v>4279.1844149449562</v>
      </c>
      <c r="AV62" s="49">
        <f>SUM(AR62:AU62)</f>
        <v>16780.527835520745</v>
      </c>
    </row>
    <row r="63" spans="2:48" s="184" customFormat="1" outlineLevel="1" x14ac:dyDescent="0.3">
      <c r="B63" s="181" t="s">
        <v>150</v>
      </c>
      <c r="C63" s="190"/>
      <c r="D63" s="187">
        <f>D62/D45</f>
        <v>0.48460485802257952</v>
      </c>
      <c r="E63" s="187">
        <f>E62/E45</f>
        <v>0.50283146300914383</v>
      </c>
      <c r="F63" s="187">
        <f>F62/F45</f>
        <v>0.48634689876141746</v>
      </c>
      <c r="G63" s="187">
        <f>G62/G45</f>
        <v>0.5072042649248355</v>
      </c>
      <c r="H63" s="188"/>
      <c r="I63" s="187">
        <f>I62/I45</f>
        <v>0.49528069783046302</v>
      </c>
      <c r="J63" s="187">
        <f>J62/J45</f>
        <v>0.55870172895744896</v>
      </c>
      <c r="K63" s="187">
        <f>K62/K45</f>
        <v>0.79971972439565575</v>
      </c>
      <c r="L63" s="187">
        <f>L62/L45</f>
        <v>0.53175238046086748</v>
      </c>
      <c r="M63" s="188"/>
      <c r="N63" s="187">
        <f>N62/N45</f>
        <v>0.52249813293502612</v>
      </c>
      <c r="O63" s="187">
        <f>O62/O45</f>
        <v>0.51614187986130633</v>
      </c>
      <c r="P63" s="187">
        <f>P62/P45</f>
        <v>0.47604365288652684</v>
      </c>
      <c r="Q63" s="167">
        <f>Q62/Q45</f>
        <v>0.48927545058333177</v>
      </c>
      <c r="R63" s="188"/>
      <c r="S63" s="187">
        <f>S62/S45</f>
        <v>0.51828695268598601</v>
      </c>
      <c r="T63" s="187">
        <f>T62/T45</f>
        <v>0.53185584344549564</v>
      </c>
      <c r="U63" s="187">
        <f>U62/U45</f>
        <v>0.48429224406878041</v>
      </c>
      <c r="V63" s="189">
        <f>Q63+1.25%</f>
        <v>0.50177545058333173</v>
      </c>
      <c r="W63" s="188">
        <f>W62/W45</f>
        <v>0.50832528116366638</v>
      </c>
      <c r="X63" s="189">
        <f>S63+0.5%</f>
        <v>0.52328695268598602</v>
      </c>
      <c r="Y63" s="189">
        <f>T63+0.25%</f>
        <v>0.53435584344549558</v>
      </c>
      <c r="Z63" s="189">
        <f>U63+1%</f>
        <v>0.49429224406878042</v>
      </c>
      <c r="AA63" s="189">
        <f>V63</f>
        <v>0.50177545058333173</v>
      </c>
      <c r="AB63" s="188">
        <f>AB62/AB45</f>
        <v>0.51292125148510082</v>
      </c>
      <c r="AC63" s="189">
        <f>X63-1%-0.1%</f>
        <v>0.51228695268598601</v>
      </c>
      <c r="AD63" s="189">
        <f>Y63-0.1%-0.1%</f>
        <v>0.53235584344549558</v>
      </c>
      <c r="AE63" s="189">
        <f>Z63-0.1%-0.1%</f>
        <v>0.49229224406878042</v>
      </c>
      <c r="AF63" s="189">
        <f>AA63+1%-0.1%</f>
        <v>0.51077545058333174</v>
      </c>
      <c r="AG63" s="188">
        <f>AG62/AG45</f>
        <v>0.51146718223065446</v>
      </c>
      <c r="AH63" s="189">
        <f>AC63-0.1%-0.1%</f>
        <v>0.51028695268598601</v>
      </c>
      <c r="AI63" s="189">
        <f>AD63-0.1%-0.1%</f>
        <v>0.53035584344549558</v>
      </c>
      <c r="AJ63" s="189">
        <f>AE63-0.1%-0.1%</f>
        <v>0.49029224406878041</v>
      </c>
      <c r="AK63" s="189">
        <f>AF63-0.1%-0.1%</f>
        <v>0.50877545058333173</v>
      </c>
      <c r="AL63" s="188">
        <f>AL62/AL45</f>
        <v>0.50946141714248272</v>
      </c>
      <c r="AM63" s="189">
        <f>AH63</f>
        <v>0.51028695268598601</v>
      </c>
      <c r="AN63" s="189">
        <f t="shared" ref="AN63:AP63" si="139">AI63</f>
        <v>0.53035584344549558</v>
      </c>
      <c r="AO63" s="189">
        <f t="shared" si="139"/>
        <v>0.49029224406878041</v>
      </c>
      <c r="AP63" s="189">
        <f t="shared" si="139"/>
        <v>0.50877545058333173</v>
      </c>
      <c r="AQ63" s="188">
        <f>AQ62/AQ45</f>
        <v>0.50945791002636609</v>
      </c>
      <c r="AR63" s="189">
        <f>AM63</f>
        <v>0.51028695268598601</v>
      </c>
      <c r="AS63" s="189">
        <f t="shared" ref="AS63:AU63" si="140">AN63</f>
        <v>0.53035584344549558</v>
      </c>
      <c r="AT63" s="189">
        <f t="shared" si="140"/>
        <v>0.49029224406878041</v>
      </c>
      <c r="AU63" s="189">
        <f t="shared" si="140"/>
        <v>0.50877545058333173</v>
      </c>
      <c r="AV63" s="188">
        <f>AV62/AV45</f>
        <v>0.50945947678748194</v>
      </c>
    </row>
    <row r="64" spans="2:48" outlineLevel="1" x14ac:dyDescent="0.3">
      <c r="B64" s="180" t="s">
        <v>33</v>
      </c>
      <c r="C64" s="18"/>
      <c r="D64" s="48">
        <v>44.5</v>
      </c>
      <c r="E64" s="48">
        <v>39.4</v>
      </c>
      <c r="F64" s="48">
        <v>41.7</v>
      </c>
      <c r="G64" s="48">
        <v>34.200000000000003</v>
      </c>
      <c r="H64" s="49"/>
      <c r="I64" s="48">
        <v>42.5</v>
      </c>
      <c r="J64" s="48">
        <v>41.8</v>
      </c>
      <c r="K64" s="48">
        <v>40.700000000000003</v>
      </c>
      <c r="L64" s="48">
        <v>38</v>
      </c>
      <c r="M64" s="49"/>
      <c r="N64" s="48">
        <v>42.8</v>
      </c>
      <c r="O64" s="48">
        <v>41.9</v>
      </c>
      <c r="P64" s="48">
        <v>39.700000000000003</v>
      </c>
      <c r="Q64" s="105">
        <v>47.3</v>
      </c>
      <c r="R64" s="49"/>
      <c r="S64" s="48">
        <v>48.2</v>
      </c>
      <c r="T64" s="48">
        <v>47.1</v>
      </c>
      <c r="U64" s="48">
        <v>55.4</v>
      </c>
      <c r="V64" s="48">
        <f t="shared" ref="V64" si="141">V59*V65</f>
        <v>53.533280907647139</v>
      </c>
      <c r="W64" s="49">
        <f>SUM(S64:V64)</f>
        <v>204.23328090764716</v>
      </c>
      <c r="X64" s="48">
        <f>X59*X65</f>
        <v>53.905749449366532</v>
      </c>
      <c r="Y64" s="48">
        <f>Y59*Y65</f>
        <v>52.780035011161516</v>
      </c>
      <c r="Z64" s="48">
        <f t="shared" ref="Z64:AA64" si="142">Z59*Z65</f>
        <v>60.754846033910255</v>
      </c>
      <c r="AA64" s="48">
        <f t="shared" si="142"/>
        <v>58.528219652126154</v>
      </c>
      <c r="AB64" s="49">
        <f>SUM(X64:AA64)</f>
        <v>225.96885014656448</v>
      </c>
      <c r="AC64" s="48">
        <f>AC59*AC65</f>
        <v>58.885612002778224</v>
      </c>
      <c r="AD64" s="48">
        <f>AD59*AD65</f>
        <v>57.717352022469221</v>
      </c>
      <c r="AE64" s="48">
        <f t="shared" ref="AE64:AF64" si="143">AE59*AE65</f>
        <v>66.502333908221743</v>
      </c>
      <c r="AF64" s="48">
        <f t="shared" si="143"/>
        <v>64.129988172001049</v>
      </c>
      <c r="AG64" s="49">
        <f>SUM(AC64:AF64)</f>
        <v>247.23528610547024</v>
      </c>
      <c r="AH64" s="48">
        <f>AH59*AH65</f>
        <v>65.811352000440451</v>
      </c>
      <c r="AI64" s="48">
        <f>AI59*AI65</f>
        <v>64.583341573885122</v>
      </c>
      <c r="AJ64" s="48">
        <f t="shared" ref="AJ64:AK64" si="144">AJ59*AJ65</f>
        <v>74.487651826013078</v>
      </c>
      <c r="AK64" s="48">
        <f t="shared" si="144"/>
        <v>71.899045801817493</v>
      </c>
      <c r="AL64" s="49">
        <f>SUM(AH64:AK64)</f>
        <v>276.7813912021561</v>
      </c>
      <c r="AM64" s="48">
        <f>AM59*AM65</f>
        <v>71.437103821015313</v>
      </c>
      <c r="AN64" s="48">
        <f>AN59*AN65</f>
        <v>70.086012406953415</v>
      </c>
      <c r="AO64" s="48">
        <f t="shared" ref="AO64:AP64" si="145">AO59*AO65</f>
        <v>80.812829351462838</v>
      </c>
      <c r="AP64" s="48">
        <f t="shared" si="145"/>
        <v>77.989474970464201</v>
      </c>
      <c r="AQ64" s="49">
        <f>SUM(AM64:AP64)</f>
        <v>300.32542054989574</v>
      </c>
      <c r="AR64" s="48">
        <f>AR59*AR65</f>
        <v>75.987152958737667</v>
      </c>
      <c r="AS64" s="48">
        <f>AS59*AS65</f>
        <v>74.525452745374423</v>
      </c>
      <c r="AT64" s="48">
        <f t="shared" ref="AT64:AU64" si="146">AT59*AT65</f>
        <v>85.918919072182319</v>
      </c>
      <c r="AU64" s="48">
        <f t="shared" si="146"/>
        <v>82.901980161972702</v>
      </c>
      <c r="AV64" s="49">
        <f>SUM(AR64:AU64)</f>
        <v>319.33350493826714</v>
      </c>
    </row>
    <row r="65" spans="2:48" s="184" customFormat="1" outlineLevel="1" x14ac:dyDescent="0.3">
      <c r="B65" s="181" t="s">
        <v>152</v>
      </c>
      <c r="C65" s="190"/>
      <c r="D65" s="187">
        <f>D64/D59</f>
        <v>9.6476964769647705E-3</v>
      </c>
      <c r="E65" s="187">
        <f t="shared" ref="E65:U65" si="147">E64/E59</f>
        <v>9.1328434667717479E-3</v>
      </c>
      <c r="F65" s="187">
        <f t="shared" si="147"/>
        <v>8.908162611352034E-3</v>
      </c>
      <c r="G65" s="187">
        <f t="shared" si="147"/>
        <v>7.352625016124179E-3</v>
      </c>
      <c r="H65" s="188"/>
      <c r="I65" s="187">
        <f t="shared" si="147"/>
        <v>8.4815103075295863E-3</v>
      </c>
      <c r="J65" s="187">
        <f t="shared" si="147"/>
        <v>9.6535796766743648E-3</v>
      </c>
      <c r="K65" s="187">
        <f t="shared" si="147"/>
        <v>1.4507217964712174E-2</v>
      </c>
      <c r="L65" s="187">
        <f t="shared" si="147"/>
        <v>9.017774508175324E-3</v>
      </c>
      <c r="M65" s="188"/>
      <c r="N65" s="187">
        <f t="shared" si="147"/>
        <v>9.1001871066507915E-3</v>
      </c>
      <c r="O65" s="187">
        <f t="shared" si="147"/>
        <v>8.982549414740814E-3</v>
      </c>
      <c r="P65" s="187">
        <f t="shared" si="147"/>
        <v>7.3514434383275002E-3</v>
      </c>
      <c r="Q65" s="167">
        <f t="shared" si="147"/>
        <v>8.2075307999305916E-3</v>
      </c>
      <c r="R65" s="188"/>
      <c r="S65" s="187">
        <f t="shared" si="147"/>
        <v>8.4084922282504412E-3</v>
      </c>
      <c r="T65" s="187">
        <f t="shared" si="147"/>
        <v>8.6490258368988378E-3</v>
      </c>
      <c r="U65" s="187">
        <f t="shared" si="147"/>
        <v>9.1443285355869534E-3</v>
      </c>
      <c r="V65" s="189">
        <v>8.9999999999999993E-3</v>
      </c>
      <c r="W65" s="188">
        <f t="shared" ref="W65" si="148">W64/W59</f>
        <v>8.8090279317011178E-3</v>
      </c>
      <c r="X65" s="189">
        <f>S65</f>
        <v>8.4084922282504412E-3</v>
      </c>
      <c r="Y65" s="189">
        <f t="shared" ref="Y65:AA65" si="149">T65</f>
        <v>8.6490258368988378E-3</v>
      </c>
      <c r="Z65" s="189">
        <f t="shared" si="149"/>
        <v>9.1443285355869534E-3</v>
      </c>
      <c r="AA65" s="189">
        <f t="shared" si="149"/>
        <v>8.9999999999999993E-3</v>
      </c>
      <c r="AB65" s="188">
        <f t="shared" ref="AB65" si="150">AB64/AB59</f>
        <v>8.8061234068543808E-3</v>
      </c>
      <c r="AC65" s="189">
        <f>X65</f>
        <v>8.4084922282504412E-3</v>
      </c>
      <c r="AD65" s="189">
        <f t="shared" ref="AD65:AF65" si="151">Y65</f>
        <v>8.6490258368988378E-3</v>
      </c>
      <c r="AE65" s="189">
        <f t="shared" si="151"/>
        <v>9.1443285355869534E-3</v>
      </c>
      <c r="AF65" s="189">
        <f t="shared" si="151"/>
        <v>8.9999999999999993E-3</v>
      </c>
      <c r="AG65" s="188">
        <f t="shared" ref="AG65" si="152">AG64/AG59</f>
        <v>8.8064108988271488E-3</v>
      </c>
      <c r="AH65" s="189">
        <f>AC65</f>
        <v>8.4084922282504412E-3</v>
      </c>
      <c r="AI65" s="189">
        <f t="shared" ref="AI65:AK65" si="153">AD65</f>
        <v>8.6490258368988378E-3</v>
      </c>
      <c r="AJ65" s="189">
        <f t="shared" si="153"/>
        <v>9.1443285355869534E-3</v>
      </c>
      <c r="AK65" s="189">
        <f t="shared" si="153"/>
        <v>8.9999999999999993E-3</v>
      </c>
      <c r="AL65" s="188">
        <f t="shared" ref="AL65" si="154">AL64/AL59</f>
        <v>8.8067134999827677E-3</v>
      </c>
      <c r="AM65" s="189">
        <f>AH65</f>
        <v>8.4084922282504412E-3</v>
      </c>
      <c r="AN65" s="189">
        <f t="shared" ref="AN65:AP65" si="155">AI65</f>
        <v>8.6490258368988378E-3</v>
      </c>
      <c r="AO65" s="189">
        <f t="shared" si="155"/>
        <v>9.1443285355869534E-3</v>
      </c>
      <c r="AP65" s="189">
        <f t="shared" si="155"/>
        <v>8.9999999999999993E-3</v>
      </c>
      <c r="AQ65" s="188">
        <f t="shared" ref="AQ65" si="156">AQ64/AQ59</f>
        <v>8.8066423494576763E-3</v>
      </c>
      <c r="AR65" s="189">
        <f>AM65</f>
        <v>8.4084922282504412E-3</v>
      </c>
      <c r="AS65" s="189">
        <f t="shared" ref="AS65:AU65" si="157">AN65</f>
        <v>8.6490258368988378E-3</v>
      </c>
      <c r="AT65" s="189">
        <f t="shared" si="157"/>
        <v>9.1443285355869534E-3</v>
      </c>
      <c r="AU65" s="189">
        <f t="shared" si="157"/>
        <v>8.9999999999999993E-3</v>
      </c>
      <c r="AV65" s="188">
        <f t="shared" ref="AV65" si="158">AV64/AV59</f>
        <v>8.8065802851681092E-3</v>
      </c>
    </row>
    <row r="66" spans="2:48" outlineLevel="1" x14ac:dyDescent="0.3">
      <c r="B66" s="180" t="s">
        <v>34</v>
      </c>
      <c r="C66" s="18"/>
      <c r="D66" s="358">
        <v>166.9</v>
      </c>
      <c r="E66" s="358">
        <v>173</v>
      </c>
      <c r="F66" s="358">
        <v>175.6</v>
      </c>
      <c r="G66" s="358">
        <v>180.6</v>
      </c>
      <c r="H66" s="130"/>
      <c r="I66" s="358">
        <v>189.2</v>
      </c>
      <c r="J66" s="358">
        <v>191.5</v>
      </c>
      <c r="K66" s="358">
        <v>191.3</v>
      </c>
      <c r="L66" s="358">
        <v>190.1</v>
      </c>
      <c r="M66" s="359"/>
      <c r="N66" s="358">
        <v>188.9</v>
      </c>
      <c r="O66" s="358">
        <v>186</v>
      </c>
      <c r="P66" s="358">
        <v>188.9</v>
      </c>
      <c r="Q66" s="358">
        <v>189.9</v>
      </c>
      <c r="R66" s="170"/>
      <c r="S66" s="358">
        <v>200</v>
      </c>
      <c r="T66" s="358">
        <v>202</v>
      </c>
      <c r="U66" s="358">
        <v>201.2</v>
      </c>
      <c r="V66" s="358">
        <f>(U66/(U66+U99+U114+U127))*'CFS (Bull-Case)'!V7*0.95</f>
        <v>208.17665687257025</v>
      </c>
      <c r="W66" s="170">
        <f t="shared" ref="W66:W67" si="159">SUM(S66:V66)</f>
        <v>811.37665687257027</v>
      </c>
      <c r="X66" s="358">
        <f>(V66/(V66+V99+V114+V127))*'CFS (Bull-Case)'!X7*0.95</f>
        <v>211.63336018905395</v>
      </c>
      <c r="Y66" s="358">
        <f>(X66/(X66+X99+X114+X127))*'CFS (Bull-Case)'!Y7*0.95</f>
        <v>220.70039620623746</v>
      </c>
      <c r="Z66" s="358">
        <f>(Y66/(Y66+Y99+Y114+Y127))*'CFS (Bull-Case)'!Z7*0.95</f>
        <v>228.26452792674871</v>
      </c>
      <c r="AA66" s="358">
        <f>(Z66/(Z66+Z99+Z114+Z127))*'CFS (Bull-Case)'!AA7*0.95</f>
        <v>237.38937977879283</v>
      </c>
      <c r="AB66" s="170">
        <f t="shared" ref="AB66:AB67" si="160">SUM(X66:AA66)</f>
        <v>897.98766410083294</v>
      </c>
      <c r="AC66" s="358">
        <f>(AA66/(AA66+AA99+AA114+AA127))*'CFS (Bull-Case)'!AC7*0.95</f>
        <v>246.61946361237139</v>
      </c>
      <c r="AD66" s="358">
        <f>(AC66/(AC66+AC99+AC114+AC127))*'CFS (Bull-Case)'!AD7*0.95</f>
        <v>253.78007596847763</v>
      </c>
      <c r="AE66" s="358">
        <f>(AD66/(AD66+AD99+AD114+AD127))*'CFS (Bull-Case)'!AE7*0.95</f>
        <v>259.25891011928638</v>
      </c>
      <c r="AF66" s="358">
        <f>(AE66/(AE66+AE99+AE114+AE127))*'CFS (Bull-Case)'!AF7*0.95</f>
        <v>266.43556833399833</v>
      </c>
      <c r="AG66" s="170">
        <f t="shared" ref="AG66:AG67" si="161">SUM(AC66:AF66)</f>
        <v>1026.0940180341338</v>
      </c>
      <c r="AH66" s="358">
        <f>(AF66/(AF66+AF99+AF114+AF127))*'CFS (Bull-Case)'!AH7*0.95</f>
        <v>273.76778981925224</v>
      </c>
      <c r="AI66" s="358">
        <f>(AH66/(AH66+AH99+AH114+AH127))*'CFS (Bull-Case)'!AI7*0.95</f>
        <v>279.25646895221104</v>
      </c>
      <c r="AJ66" s="358">
        <f>(AI66/(AI66+AI99+AI114+AI127))*'CFS (Bull-Case)'!AJ7*0.95</f>
        <v>283.19082628738198</v>
      </c>
      <c r="AK66" s="358">
        <f>(AJ66/(AJ66+AJ99+AJ114+AJ127))*'CFS (Bull-Case)'!AK7*0.95</f>
        <v>288.91427152767363</v>
      </c>
      <c r="AL66" s="170">
        <f t="shared" ref="AL66:AL67" si="162">SUM(AH66:AK66)</f>
        <v>1125.129356586519</v>
      </c>
      <c r="AM66" s="358">
        <f>(AK66/(AK66+AK99+AK114+AK127))*'CFS (Bull-Case)'!AM7*0.95</f>
        <v>294.90116402341903</v>
      </c>
      <c r="AN66" s="358">
        <f>(AM66/(AM66+AM99+AM114+AM127))*'CFS (Bull-Case)'!AN7*0.95</f>
        <v>301.31077574700015</v>
      </c>
      <c r="AO66" s="358">
        <f>(AN66/(AN66+AN99+AN114+AN127))*'CFS (Bull-Case)'!AO7*0.95</f>
        <v>305.88039020469068</v>
      </c>
      <c r="AP66" s="358">
        <f>(AO66/(AO66+AO99+AO114+AO127))*'CFS (Bull-Case)'!AP7*0.95</f>
        <v>312.29723261161149</v>
      </c>
      <c r="AQ66" s="170">
        <f t="shared" ref="AQ66:AQ67" si="163">SUM(AM66:AP66)</f>
        <v>1214.3895625867212</v>
      </c>
      <c r="AR66" s="358">
        <f>(AP66/(AP66+AP99+AP114+AP127))*'CFS (Bull-Case)'!AR7*0.95</f>
        <v>318.91369978184605</v>
      </c>
      <c r="AS66" s="358">
        <f>(AR66/(AR66+AR99+AR114+AR127))*'CFS (Bull-Case)'!AS7*0.95</f>
        <v>325.44650117451005</v>
      </c>
      <c r="AT66" s="358">
        <f>(AS66/(AS66+AS99+AS114+AS127))*'CFS (Bull-Case)'!AT7*0.95</f>
        <v>330.02041387469882</v>
      </c>
      <c r="AU66" s="358">
        <f>(AT66/(AT66+AT99+AT114+AT127))*'CFS (Bull-Case)'!AU7*0.95</f>
        <v>336.5711662771331</v>
      </c>
      <c r="AV66" s="170">
        <f t="shared" ref="AV66:AV67" si="164">SUM(AR66:AU66)</f>
        <v>1310.9517811081878</v>
      </c>
    </row>
    <row r="67" spans="2:48" outlineLevel="1" x14ac:dyDescent="0.3">
      <c r="B67" s="180" t="s">
        <v>35</v>
      </c>
      <c r="C67" s="18"/>
      <c r="D67" s="48">
        <v>75.099999999999994</v>
      </c>
      <c r="E67" s="48">
        <v>70.900000000000006</v>
      </c>
      <c r="F67" s="48">
        <v>72</v>
      </c>
      <c r="G67" s="48">
        <v>106</v>
      </c>
      <c r="H67" s="49"/>
      <c r="I67" s="48">
        <v>72.400000000000006</v>
      </c>
      <c r="J67" s="48">
        <v>68.2</v>
      </c>
      <c r="K67" s="48">
        <v>62.2</v>
      </c>
      <c r="L67" s="48">
        <v>65.2</v>
      </c>
      <c r="M67" s="165"/>
      <c r="N67" s="48">
        <v>70.8</v>
      </c>
      <c r="O67" s="48">
        <v>77.7</v>
      </c>
      <c r="P67" s="48">
        <v>73.2</v>
      </c>
      <c r="Q67" s="105">
        <v>78.400000000000006</v>
      </c>
      <c r="R67" s="49"/>
      <c r="S67" s="48">
        <v>76.7</v>
      </c>
      <c r="T67" s="48">
        <v>71.3</v>
      </c>
      <c r="U67" s="48">
        <v>76.5</v>
      </c>
      <c r="V67" s="48">
        <f t="shared" ref="V67" si="165">V68*V59</f>
        <v>155.27045995612178</v>
      </c>
      <c r="W67" s="49">
        <f t="shared" si="159"/>
        <v>379.77045995612178</v>
      </c>
      <c r="X67" s="48">
        <f>X68*X59</f>
        <v>117.83383030310023</v>
      </c>
      <c r="Y67" s="48">
        <f>Y68*Y59</f>
        <v>95.154502928800895</v>
      </c>
      <c r="Z67" s="48">
        <f t="shared" ref="Z67:AA67" si="166">Z68*Z59</f>
        <v>100.50430721342491</v>
      </c>
      <c r="AA67" s="48">
        <f t="shared" si="166"/>
        <v>104.72666137167562</v>
      </c>
      <c r="AB67" s="49">
        <f t="shared" si="160"/>
        <v>418.21930181700168</v>
      </c>
      <c r="AC67" s="48">
        <f>AC68*AC59</f>
        <v>107.71009186680789</v>
      </c>
      <c r="AD67" s="48">
        <f>AD68*AD59</f>
        <v>117.40230205502078</v>
      </c>
      <c r="AE67" s="48">
        <f t="shared" ref="AE67:AF67" si="167">AE68*AE59</f>
        <v>102.73962371125127</v>
      </c>
      <c r="AF67" s="48">
        <f t="shared" si="167"/>
        <v>107.62455425294978</v>
      </c>
      <c r="AG67" s="49">
        <f t="shared" si="161"/>
        <v>435.47657188602972</v>
      </c>
      <c r="AH67" s="48">
        <f>AH68*AH59</f>
        <v>112.5514753424462</v>
      </c>
      <c r="AI67" s="48">
        <f>AI68*AI59</f>
        <v>123.90122113480214</v>
      </c>
      <c r="AJ67" s="48">
        <f t="shared" ref="AJ67:AK67" si="168">AJ68*AJ59</f>
        <v>106.93038555237112</v>
      </c>
      <c r="AK67" s="48">
        <f t="shared" si="168"/>
        <v>112.67399871479803</v>
      </c>
      <c r="AL67" s="49">
        <f t="shared" si="162"/>
        <v>456.05708074441748</v>
      </c>
      <c r="AM67" s="48">
        <f>AM68*AM59</f>
        <v>122.17271313910955</v>
      </c>
      <c r="AN67" s="48">
        <f>AN68*AN59</f>
        <v>134.45793156670254</v>
      </c>
      <c r="AO67" s="48">
        <f t="shared" ref="AO67:AP67" si="169">AO68*AO59</f>
        <v>116.01046332235306</v>
      </c>
      <c r="AP67" s="48">
        <f t="shared" si="169"/>
        <v>122.21839531516737</v>
      </c>
      <c r="AQ67" s="49">
        <f t="shared" si="163"/>
        <v>494.85950334333251</v>
      </c>
      <c r="AR67" s="48">
        <f>AR68*AR59</f>
        <v>129.95426947801971</v>
      </c>
      <c r="AS67" s="48">
        <f>AS68*AS59</f>
        <v>142.97486589807633</v>
      </c>
      <c r="AT67" s="48">
        <f t="shared" ref="AT67:AU67" si="170">AT68*AT59</f>
        <v>123.34048553565708</v>
      </c>
      <c r="AU67" s="48">
        <f t="shared" si="170"/>
        <v>129.91685080176961</v>
      </c>
      <c r="AV67" s="49">
        <f t="shared" si="164"/>
        <v>526.18647171352268</v>
      </c>
    </row>
    <row r="68" spans="2:48" s="184" customFormat="1" outlineLevel="1" x14ac:dyDescent="0.3">
      <c r="B68" s="181" t="s">
        <v>153</v>
      </c>
      <c r="C68" s="190"/>
      <c r="D68" s="187">
        <f>D67/D59</f>
        <v>1.6281842818428184E-2</v>
      </c>
      <c r="E68" s="187">
        <f t="shared" ref="E68:Q68" si="171">E67/E59</f>
        <v>1.6434482279038501E-2</v>
      </c>
      <c r="F68" s="187">
        <f t="shared" si="171"/>
        <v>1.5381000192262503E-2</v>
      </c>
      <c r="G68" s="187">
        <f t="shared" si="171"/>
        <v>2.2788837769273769E-2</v>
      </c>
      <c r="H68" s="188"/>
      <c r="I68" s="187">
        <f t="shared" si="171"/>
        <v>1.4448502265062167E-2</v>
      </c>
      <c r="J68" s="187">
        <f t="shared" si="171"/>
        <v>1.5750577367205542E-2</v>
      </c>
      <c r="K68" s="187">
        <f t="shared" si="171"/>
        <v>2.2170736054179293E-2</v>
      </c>
      <c r="L68" s="187">
        <f t="shared" si="171"/>
        <v>1.5472602577185029E-2</v>
      </c>
      <c r="M68" s="188"/>
      <c r="N68" s="187">
        <f t="shared" si="171"/>
        <v>1.5053580540908319E-2</v>
      </c>
      <c r="O68" s="187">
        <f t="shared" si="171"/>
        <v>1.6657376838314114E-2</v>
      </c>
      <c r="P68" s="187">
        <f t="shared" si="171"/>
        <v>1.3554802510971613E-2</v>
      </c>
      <c r="Q68" s="167">
        <f t="shared" si="171"/>
        <v>1.3604025681068889E-2</v>
      </c>
      <c r="R68" s="188"/>
      <c r="S68" s="187">
        <f t="shared" ref="S68:U68" si="172">S67/S59</f>
        <v>1.3380318545784415E-2</v>
      </c>
      <c r="T68" s="187">
        <f t="shared" si="172"/>
        <v>1.3092898984519897E-2</v>
      </c>
      <c r="U68" s="187">
        <f t="shared" si="172"/>
        <v>1.2627096263039747E-2</v>
      </c>
      <c r="V68" s="189">
        <f>Q68+1.25%</f>
        <v>2.6104025681068892E-2</v>
      </c>
      <c r="W68" s="188">
        <f t="shared" ref="W68" si="173">W67/W59</f>
        <v>1.638033025039258E-2</v>
      </c>
      <c r="X68" s="189">
        <f>S68+0.5%</f>
        <v>1.8380318545784414E-2</v>
      </c>
      <c r="Y68" s="189">
        <f>T68+0.25%</f>
        <v>1.5592898984519897E-2</v>
      </c>
      <c r="Z68" s="189">
        <f>U68+0.25%</f>
        <v>1.5127096263039748E-2</v>
      </c>
      <c r="AA68" s="189">
        <f>V68-1%</f>
        <v>1.610402568106889E-2</v>
      </c>
      <c r="AB68" s="188">
        <f t="shared" ref="AB68" si="174">AB67/AB59</f>
        <v>1.6298223319454228E-2</v>
      </c>
      <c r="AC68" s="189">
        <f>X68-0.3%</f>
        <v>1.5380318545784415E-2</v>
      </c>
      <c r="AD68" s="189">
        <f>Y68+0.2%</f>
        <v>1.7592898984519899E-2</v>
      </c>
      <c r="AE68" s="189">
        <f>Z68-0.1%</f>
        <v>1.4127096263039748E-2</v>
      </c>
      <c r="AF68" s="189">
        <f>AA68-0.1%</f>
        <v>1.5104025681068889E-2</v>
      </c>
      <c r="AG68" s="188">
        <f t="shared" ref="AG68" si="175">AG67/AG59</f>
        <v>1.5511481751860519E-2</v>
      </c>
      <c r="AH68" s="189">
        <f t="shared" ref="AH68:AK68" si="176">AC68-0.1%</f>
        <v>1.4380318545784414E-2</v>
      </c>
      <c r="AI68" s="189">
        <f t="shared" si="176"/>
        <v>1.6592898984519898E-2</v>
      </c>
      <c r="AJ68" s="189">
        <f t="shared" si="176"/>
        <v>1.3127096263039748E-2</v>
      </c>
      <c r="AK68" s="189">
        <f t="shared" si="176"/>
        <v>1.4104025681068888E-2</v>
      </c>
      <c r="AL68" s="188">
        <f t="shared" ref="AL68" si="177">AL67/AL59</f>
        <v>1.4510961276371047E-2</v>
      </c>
      <c r="AM68" s="189">
        <f>AH68</f>
        <v>1.4380318545784414E-2</v>
      </c>
      <c r="AN68" s="189">
        <f t="shared" ref="AN68:AP68" si="178">AI68</f>
        <v>1.6592898984519898E-2</v>
      </c>
      <c r="AO68" s="189">
        <f t="shared" si="178"/>
        <v>1.3127096263039748E-2</v>
      </c>
      <c r="AP68" s="189">
        <f t="shared" si="178"/>
        <v>1.4104025681068888E-2</v>
      </c>
      <c r="AQ68" s="188">
        <f t="shared" ref="AQ68" si="179">AQ67/AQ59</f>
        <v>1.4511094835713192E-2</v>
      </c>
      <c r="AR68" s="189">
        <f>AM68</f>
        <v>1.4380318545784414E-2</v>
      </c>
      <c r="AS68" s="189">
        <f t="shared" ref="AS68:AU68" si="180">AN68</f>
        <v>1.6592898984519898E-2</v>
      </c>
      <c r="AT68" s="189">
        <f t="shared" si="180"/>
        <v>1.3127096263039748E-2</v>
      </c>
      <c r="AU68" s="189">
        <f t="shared" si="180"/>
        <v>1.4104025681068888E-2</v>
      </c>
      <c r="AV68" s="188">
        <f t="shared" ref="AV68" si="181">AV67/AV59</f>
        <v>1.4511171976803036E-2</v>
      </c>
    </row>
    <row r="69" spans="2:48" ht="16.2" outlineLevel="1" x14ac:dyDescent="0.45">
      <c r="B69" s="180" t="s">
        <v>42</v>
      </c>
      <c r="C69" s="18"/>
      <c r="D69" s="119">
        <v>22.9</v>
      </c>
      <c r="E69" s="119">
        <v>18.2</v>
      </c>
      <c r="F69" s="119">
        <v>15.1</v>
      </c>
      <c r="G69" s="119">
        <v>0.7</v>
      </c>
      <c r="H69" s="131"/>
      <c r="I69" s="119">
        <v>5.2</v>
      </c>
      <c r="J69" s="119">
        <v>0.5</v>
      </c>
      <c r="K69" s="119">
        <v>56.2</v>
      </c>
      <c r="L69" s="119">
        <v>195.6</v>
      </c>
      <c r="M69" s="357"/>
      <c r="N69" s="119">
        <v>72.2</v>
      </c>
      <c r="O69" s="119">
        <v>23</v>
      </c>
      <c r="P69" s="119">
        <v>19.8</v>
      </c>
      <c r="Q69" s="119">
        <v>40.5</v>
      </c>
      <c r="R69" s="173"/>
      <c r="S69" s="119">
        <v>-7.5</v>
      </c>
      <c r="T69" s="119">
        <v>4.4000000000000004</v>
      </c>
      <c r="U69" s="119">
        <v>12</v>
      </c>
      <c r="V69" s="119">
        <f>IFERROR((V163*(U69/U163)),0)</f>
        <v>42.857142857142854</v>
      </c>
      <c r="W69" s="173">
        <f>SUM(S69:V69)</f>
        <v>51.757142857142853</v>
      </c>
      <c r="X69" s="119">
        <f>IFERROR((X163*(V69/V163)),0)</f>
        <v>42.857142857142854</v>
      </c>
      <c r="Y69" s="119">
        <f t="shared" ref="Y69:AA69" si="182">IFERROR((Y163*(X69/X163)),0)</f>
        <v>0</v>
      </c>
      <c r="Z69" s="119">
        <f t="shared" si="182"/>
        <v>0</v>
      </c>
      <c r="AA69" s="119">
        <f t="shared" si="182"/>
        <v>0</v>
      </c>
      <c r="AB69" s="173">
        <f>SUM(X69:AA69)</f>
        <v>42.857142857142854</v>
      </c>
      <c r="AC69" s="119">
        <f>IFERROR((AC163*(AA69/AA163)),0)</f>
        <v>0</v>
      </c>
      <c r="AD69" s="119">
        <f t="shared" ref="AD69:AF69" si="183">IFERROR((AD163*(AC69/AC163)),0)</f>
        <v>0</v>
      </c>
      <c r="AE69" s="119">
        <f t="shared" si="183"/>
        <v>0</v>
      </c>
      <c r="AF69" s="119">
        <f t="shared" si="183"/>
        <v>0</v>
      </c>
      <c r="AG69" s="173">
        <f>SUM(AC69:AF69)</f>
        <v>0</v>
      </c>
      <c r="AH69" s="119">
        <f>IFERROR((AH163*(AF69/AF163)),0)</f>
        <v>0</v>
      </c>
      <c r="AI69" s="119">
        <f t="shared" ref="AI69:AK69" si="184">IFERROR((AI163*(AH69/AH163)),0)</f>
        <v>0</v>
      </c>
      <c r="AJ69" s="119">
        <f t="shared" si="184"/>
        <v>0</v>
      </c>
      <c r="AK69" s="119">
        <f t="shared" si="184"/>
        <v>0</v>
      </c>
      <c r="AL69" s="173">
        <f>SUM(AH69:AK69)</f>
        <v>0</v>
      </c>
      <c r="AM69" s="119">
        <f>IFERROR((AM163*(AK69/AK163)),0)</f>
        <v>0</v>
      </c>
      <c r="AN69" s="119">
        <f t="shared" ref="AN69:AP69" si="185">IFERROR((AN163*(AM69/AM163)),0)</f>
        <v>0</v>
      </c>
      <c r="AO69" s="119">
        <f t="shared" si="185"/>
        <v>0</v>
      </c>
      <c r="AP69" s="119">
        <f t="shared" si="185"/>
        <v>0</v>
      </c>
      <c r="AQ69" s="173">
        <f>SUM(AM69:AP69)</f>
        <v>0</v>
      </c>
      <c r="AR69" s="119">
        <f>IFERROR((AR163*(AP69/AP163)),0)</f>
        <v>0</v>
      </c>
      <c r="AS69" s="119">
        <f t="shared" ref="AS69:AU69" si="186">IFERROR((AS163*(AR69/AR163)),0)</f>
        <v>0</v>
      </c>
      <c r="AT69" s="119">
        <f t="shared" si="186"/>
        <v>0</v>
      </c>
      <c r="AU69" s="119">
        <f t="shared" si="186"/>
        <v>0</v>
      </c>
      <c r="AV69" s="173">
        <f>SUM(AR69:AU69)</f>
        <v>0</v>
      </c>
    </row>
    <row r="70" spans="2:48" outlineLevel="1" x14ac:dyDescent="0.3">
      <c r="B70" s="46" t="s">
        <v>183</v>
      </c>
      <c r="C70" s="19"/>
      <c r="D70" s="103">
        <f>+D60+D62+D64+D66+D67+D69</f>
        <v>3643.7999999999997</v>
      </c>
      <c r="E70" s="103">
        <f t="shared" ref="E70:G70" si="187">+E60+E62+E64+E66+E67+E69</f>
        <v>3457.7</v>
      </c>
      <c r="F70" s="103">
        <f t="shared" si="187"/>
        <v>3662.3999999999996</v>
      </c>
      <c r="G70" s="103">
        <f t="shared" si="187"/>
        <v>3712.4999999999995</v>
      </c>
      <c r="H70" s="166">
        <f>+H60+H62+H64+H66+H67+H69</f>
        <v>0</v>
      </c>
      <c r="I70" s="103">
        <f t="shared" ref="I70:L70" si="188">+I60+I62+I64+I66+I67+I69</f>
        <v>3912.1</v>
      </c>
      <c r="J70" s="103">
        <f t="shared" si="188"/>
        <v>3708.8</v>
      </c>
      <c r="K70" s="103">
        <f t="shared" si="188"/>
        <v>3210.3999999999996</v>
      </c>
      <c r="L70" s="50">
        <f t="shared" si="188"/>
        <v>3707.8999999999996</v>
      </c>
      <c r="M70" s="191"/>
      <c r="N70" s="50">
        <f t="shared" ref="N70:Q70" si="189">+N60+N62+N64+N66+N67+N69</f>
        <v>3889.7000000000003</v>
      </c>
      <c r="O70" s="50">
        <f t="shared" si="189"/>
        <v>3759.2999999999997</v>
      </c>
      <c r="P70" s="50">
        <f t="shared" si="189"/>
        <v>4084.6</v>
      </c>
      <c r="Q70" s="103">
        <f t="shared" si="189"/>
        <v>4507.2</v>
      </c>
      <c r="R70" s="191"/>
      <c r="S70" s="50">
        <f>+S60+S62+S64+S66+S67+S69</f>
        <v>4649.2</v>
      </c>
      <c r="T70" s="50">
        <f t="shared" ref="T70:AK70" si="190">+T60+T62+T64+T66+T67+T69</f>
        <v>4514.2</v>
      </c>
      <c r="U70" s="50">
        <f t="shared" si="190"/>
        <v>4728.2999999999993</v>
      </c>
      <c r="V70" s="50">
        <f>+V60+V62+V64+V66+V67+V69</f>
        <v>4892.2388743154106</v>
      </c>
      <c r="W70" s="191">
        <f>+W60+W62+W64+W66+W67+W69</f>
        <v>18783.938874315409</v>
      </c>
      <c r="X70" s="50">
        <f t="shared" si="190"/>
        <v>5329.570134196766</v>
      </c>
      <c r="Y70" s="50">
        <f t="shared" si="190"/>
        <v>5087.7513973802725</v>
      </c>
      <c r="Z70" s="50">
        <f t="shared" si="190"/>
        <v>5272.8657620755575</v>
      </c>
      <c r="AA70" s="50">
        <f t="shared" si="190"/>
        <v>5179.0981427736415</v>
      </c>
      <c r="AB70" s="191">
        <f>+AB60+AB62+AB64+AB66+AB67+AB69</f>
        <v>20869.285436426235</v>
      </c>
      <c r="AC70" s="50">
        <f t="shared" si="190"/>
        <v>5618.1463930208438</v>
      </c>
      <c r="AD70" s="50">
        <f t="shared" si="190"/>
        <v>5559.4141741763233</v>
      </c>
      <c r="AE70" s="50">
        <f t="shared" si="190"/>
        <v>5741.4310636164837</v>
      </c>
      <c r="AF70" s="50">
        <f t="shared" si="190"/>
        <v>5792.0130757829238</v>
      </c>
      <c r="AG70" s="191">
        <f>+AG60+AG62+AG64+AG66+AG67+AG69</f>
        <v>22711.004706596577</v>
      </c>
      <c r="AH70" s="50">
        <f t="shared" si="190"/>
        <v>6233.8569819742333</v>
      </c>
      <c r="AI70" s="50">
        <f t="shared" si="190"/>
        <v>6174.3553355741151</v>
      </c>
      <c r="AJ70" s="50">
        <f t="shared" si="190"/>
        <v>6378.6938518779707</v>
      </c>
      <c r="AK70" s="50">
        <f t="shared" si="190"/>
        <v>6439.626956355929</v>
      </c>
      <c r="AL70" s="191">
        <f>+AL60+AL62+AL64+AL66+AL67+AL69</f>
        <v>25226.533125782244</v>
      </c>
      <c r="AM70" s="50">
        <f t="shared" ref="AM70:AP70" si="191">+AM60+AM62+AM64+AM66+AM67+AM69</f>
        <v>6759.7624365252796</v>
      </c>
      <c r="AN70" s="50">
        <f t="shared" si="191"/>
        <v>6697.5353460488577</v>
      </c>
      <c r="AO70" s="50">
        <f t="shared" si="191"/>
        <v>6921.3532959680706</v>
      </c>
      <c r="AP70" s="50">
        <f t="shared" si="191"/>
        <v>6989.7163821398308</v>
      </c>
      <c r="AQ70" s="191">
        <f>+AQ60+AQ62+AQ64+AQ66+AQ67+AQ69</f>
        <v>27368.367460682042</v>
      </c>
      <c r="AR70" s="50">
        <f t="shared" ref="AR70:AU70" si="192">+AR60+AR62+AR64+AR66+AR67+AR69</f>
        <v>7203.5314237362882</v>
      </c>
      <c r="AS70" s="50">
        <f t="shared" si="192"/>
        <v>7134.8851421378968</v>
      </c>
      <c r="AT70" s="50">
        <f t="shared" si="192"/>
        <v>7371.0992202779489</v>
      </c>
      <c r="AU70" s="50">
        <f t="shared" si="192"/>
        <v>7441.9655531977114</v>
      </c>
      <c r="AV70" s="191">
        <f>+AV60+AV62+AV64+AV66+AV67+AV69</f>
        <v>29151.481339349844</v>
      </c>
    </row>
    <row r="71" spans="2:48" outlineLevel="1" x14ac:dyDescent="0.3">
      <c r="B71" s="46" t="s">
        <v>184</v>
      </c>
      <c r="C71" s="44"/>
      <c r="D71" s="156">
        <f t="shared" ref="D71:G71" si="193">+D59-D70</f>
        <v>968.70000000000027</v>
      </c>
      <c r="E71" s="156">
        <f t="shared" si="193"/>
        <v>856.40000000000055</v>
      </c>
      <c r="F71" s="156">
        <f t="shared" si="193"/>
        <v>1018.6999999999998</v>
      </c>
      <c r="G71" s="156">
        <f t="shared" si="193"/>
        <v>938.90000000000009</v>
      </c>
      <c r="H71" s="132">
        <f>SUM(D71:G71)</f>
        <v>3782.7000000000007</v>
      </c>
      <c r="I71" s="156">
        <f t="shared" ref="I71:L71" si="194">+I59-I70</f>
        <v>1098.7999999999997</v>
      </c>
      <c r="J71" s="156">
        <f t="shared" si="194"/>
        <v>621.19999999999982</v>
      </c>
      <c r="K71" s="156">
        <f t="shared" si="194"/>
        <v>-404.89999999999964</v>
      </c>
      <c r="L71" s="74">
        <f t="shared" si="194"/>
        <v>506.00000000000091</v>
      </c>
      <c r="M71" s="97"/>
      <c r="N71" s="74">
        <f>+N59-N70</f>
        <v>813.49999999999955</v>
      </c>
      <c r="O71" s="74">
        <f t="shared" ref="O71:Q71" si="195">+O59-O70</f>
        <v>905.29999999999973</v>
      </c>
      <c r="P71" s="74">
        <f t="shared" si="195"/>
        <v>1315.7000000000003</v>
      </c>
      <c r="Q71" s="74">
        <f t="shared" si="195"/>
        <v>1255.8000000000002</v>
      </c>
      <c r="R71" s="97"/>
      <c r="S71" s="74">
        <f t="shared" ref="S71:U71" si="196">+S59-S70</f>
        <v>1083.1000000000004</v>
      </c>
      <c r="T71" s="74">
        <f t="shared" si="196"/>
        <v>931.5</v>
      </c>
      <c r="U71" s="74">
        <f t="shared" si="196"/>
        <v>1330.1000000000004</v>
      </c>
      <c r="V71" s="156">
        <f>+V59-V70</f>
        <v>1055.9034487564941</v>
      </c>
      <c r="W71" s="97">
        <f>SUM(S71:V71)</f>
        <v>4400.6034487564948</v>
      </c>
      <c r="X71" s="74">
        <f t="shared" ref="X71:AA71" si="197">+X59-X70</f>
        <v>1081.2997323717764</v>
      </c>
      <c r="Y71" s="74">
        <f t="shared" si="197"/>
        <v>1014.6740094197758</v>
      </c>
      <c r="Z71" s="74">
        <f t="shared" si="197"/>
        <v>1371.1262814594947</v>
      </c>
      <c r="AA71" s="74">
        <f t="shared" si="197"/>
        <v>1324.0373741292651</v>
      </c>
      <c r="AB71" s="97">
        <f>SUM(X71:AA71)</f>
        <v>4791.137397380312</v>
      </c>
      <c r="AC71" s="74">
        <f t="shared" ref="AC71:AF71" si="198">+AC59-AC70</f>
        <v>1384.9655091269897</v>
      </c>
      <c r="AD71" s="74">
        <f t="shared" si="198"/>
        <v>1113.8636158185946</v>
      </c>
      <c r="AE71" s="74">
        <f t="shared" si="198"/>
        <v>1531.0913145346103</v>
      </c>
      <c r="AF71" s="74">
        <f t="shared" si="198"/>
        <v>1333.5411655505268</v>
      </c>
      <c r="AG71" s="97">
        <f>SUM(AC71:AF71)</f>
        <v>5363.4616050307213</v>
      </c>
      <c r="AH71" s="74">
        <f t="shared" ref="AH71:AK71" si="199">+AH59-AH70</f>
        <v>1592.9150734640398</v>
      </c>
      <c r="AI71" s="74">
        <f t="shared" si="199"/>
        <v>1292.7678748060589</v>
      </c>
      <c r="AJ71" s="74">
        <f t="shared" si="199"/>
        <v>1767.0821377017701</v>
      </c>
      <c r="AK71" s="74">
        <f t="shared" si="199"/>
        <v>1549.1559105126826</v>
      </c>
      <c r="AL71" s="97">
        <f>SUM(AH71:AK71)</f>
        <v>6201.9209964845513</v>
      </c>
      <c r="AM71" s="74">
        <f t="shared" ref="AM71:AP71" si="200">+AM59-AM70</f>
        <v>1736.0655766117761</v>
      </c>
      <c r="AN71" s="74">
        <f t="shared" si="200"/>
        <v>1405.8064323916133</v>
      </c>
      <c r="AO71" s="74">
        <f t="shared" si="200"/>
        <v>1916.1276669002054</v>
      </c>
      <c r="AP71" s="74">
        <f t="shared" si="200"/>
        <v>1675.7808368006363</v>
      </c>
      <c r="AQ71" s="97">
        <f>SUM(AM71:AP71)</f>
        <v>6733.7805127042311</v>
      </c>
      <c r="AR71" s="74">
        <f t="shared" ref="AR71:AU71" si="201">+AR59-AR70</f>
        <v>1833.4220390307628</v>
      </c>
      <c r="AS71" s="74">
        <f t="shared" si="201"/>
        <v>1481.7445397195443</v>
      </c>
      <c r="AT71" s="74">
        <f t="shared" si="201"/>
        <v>2024.7704423016421</v>
      </c>
      <c r="AU71" s="74">
        <f t="shared" si="201"/>
        <v>1769.3655759103676</v>
      </c>
      <c r="AV71" s="97">
        <f>SUM(AR71:AU71)</f>
        <v>7109.3025969623168</v>
      </c>
    </row>
    <row r="72" spans="2:48" outlineLevel="1" x14ac:dyDescent="0.3">
      <c r="B72" s="46" t="s">
        <v>185</v>
      </c>
      <c r="C72" s="44"/>
      <c r="D72" s="157">
        <f t="shared" ref="D72:G72" si="202">+D71/D59</f>
        <v>0.21001626016260169</v>
      </c>
      <c r="E72" s="157">
        <f t="shared" si="202"/>
        <v>0.19851185647064287</v>
      </c>
      <c r="F72" s="157">
        <f t="shared" si="202"/>
        <v>0.21761979022024736</v>
      </c>
      <c r="G72" s="157">
        <f t="shared" si="202"/>
        <v>0.20185320548652022</v>
      </c>
      <c r="H72" s="133">
        <f>H71/H59</f>
        <v>0.20716793270205</v>
      </c>
      <c r="I72" s="157">
        <f t="shared" ref="I72:L72" si="203">+I71/I59</f>
        <v>0.21928196531561192</v>
      </c>
      <c r="J72" s="157">
        <f t="shared" si="203"/>
        <v>0.14346420323325632</v>
      </c>
      <c r="K72" s="157">
        <f t="shared" si="203"/>
        <v>-0.14432364997326666</v>
      </c>
      <c r="L72" s="75">
        <f t="shared" si="203"/>
        <v>0.12007878687201899</v>
      </c>
      <c r="M72" s="98"/>
      <c r="N72" s="75">
        <f>+N71/N59</f>
        <v>0.17296734138458913</v>
      </c>
      <c r="O72" s="75">
        <f t="shared" ref="O72:Q72" si="204">+O71/O59</f>
        <v>0.19407880632851687</v>
      </c>
      <c r="P72" s="75">
        <f t="shared" si="204"/>
        <v>0.24363461289187641</v>
      </c>
      <c r="Q72" s="75">
        <f t="shared" si="204"/>
        <v>0.21790733992712133</v>
      </c>
      <c r="R72" s="98"/>
      <c r="S72" s="75">
        <f t="shared" ref="S72:V72" si="205">+S71/S59</f>
        <v>0.188946845070914</v>
      </c>
      <c r="T72" s="75">
        <f t="shared" si="205"/>
        <v>0.17105238995905026</v>
      </c>
      <c r="U72" s="75">
        <f t="shared" si="205"/>
        <v>0.21954641489502186</v>
      </c>
      <c r="V72" s="75">
        <f t="shared" si="205"/>
        <v>0.17751818826876609</v>
      </c>
      <c r="W72" s="98">
        <f>W71/W59</f>
        <v>0.1898076480197442</v>
      </c>
      <c r="X72" s="75">
        <f t="shared" ref="X72:AA72" si="206">+X71/X59</f>
        <v>0.16866661699226609</v>
      </c>
      <c r="Y72" s="75">
        <f t="shared" si="206"/>
        <v>0.16627388976997659</v>
      </c>
      <c r="Z72" s="75">
        <f t="shared" si="206"/>
        <v>0.20637084940426315</v>
      </c>
      <c r="AA72" s="75">
        <f t="shared" si="206"/>
        <v>0.20359984359665209</v>
      </c>
      <c r="AB72" s="98">
        <f>AB71/AB59</f>
        <v>0.18671311179908484</v>
      </c>
      <c r="AC72" s="75">
        <f t="shared" ref="AC72:AF72" si="207">+AC71/AC59</f>
        <v>0.1977642979976123</v>
      </c>
      <c r="AD72" s="75">
        <f t="shared" si="207"/>
        <v>0.16691401899806765</v>
      </c>
      <c r="AE72" s="75">
        <f t="shared" si="207"/>
        <v>0.21053098703889617</v>
      </c>
      <c r="AF72" s="75">
        <f t="shared" si="207"/>
        <v>0.18714911435450285</v>
      </c>
      <c r="AG72" s="98">
        <f>AG71/AG59</f>
        <v>0.19104411622633036</v>
      </c>
      <c r="AH72" s="75">
        <f t="shared" ref="AH72:AK72" si="208">+AH71/AH59</f>
        <v>0.20352133193367183</v>
      </c>
      <c r="AI72" s="75">
        <f t="shared" si="208"/>
        <v>0.17312796888217413</v>
      </c>
      <c r="AJ72" s="75">
        <f t="shared" si="208"/>
        <v>0.21693232663926201</v>
      </c>
      <c r="AK72" s="75">
        <f t="shared" si="208"/>
        <v>0.19391638705533001</v>
      </c>
      <c r="AL72" s="98">
        <f>AL71/AL59</f>
        <v>0.19733458643422561</v>
      </c>
      <c r="AM72" s="75">
        <f t="shared" ref="AM72:AP72" si="209">+AM71/AM59</f>
        <v>0.20434330519959995</v>
      </c>
      <c r="AN72" s="75">
        <f t="shared" si="209"/>
        <v>0.1734847758898512</v>
      </c>
      <c r="AO72" s="75">
        <f t="shared" si="209"/>
        <v>0.21681830772264665</v>
      </c>
      <c r="AP72" s="75">
        <f t="shared" si="209"/>
        <v>0.19338542203185133</v>
      </c>
      <c r="AQ72" s="98">
        <f>AQ71/AQ59</f>
        <v>0.19745913125353148</v>
      </c>
      <c r="AR72" s="75">
        <f t="shared" ref="AR72:AU72" si="210">+AR71/AR59</f>
        <v>0.20288054448709997</v>
      </c>
      <c r="AS72" s="75">
        <f t="shared" si="210"/>
        <v>0.17196335393633075</v>
      </c>
      <c r="AT72" s="75">
        <f t="shared" si="210"/>
        <v>0.2154957992196915</v>
      </c>
      <c r="AU72" s="75">
        <f t="shared" si="210"/>
        <v>0.1920857638391828</v>
      </c>
      <c r="AV72" s="98">
        <f>AV71/AV59</f>
        <v>0.19606036674355903</v>
      </c>
    </row>
    <row r="73" spans="2:48" ht="17.399999999999999" x14ac:dyDescent="0.45">
      <c r="B73" s="455" t="s">
        <v>114</v>
      </c>
      <c r="C73" s="456"/>
      <c r="D73" s="14" t="s">
        <v>19</v>
      </c>
      <c r="E73" s="14" t="s">
        <v>81</v>
      </c>
      <c r="F73" s="14" t="s">
        <v>85</v>
      </c>
      <c r="G73" s="14" t="s">
        <v>95</v>
      </c>
      <c r="H73" s="40" t="s">
        <v>96</v>
      </c>
      <c r="I73" s="14" t="s">
        <v>97</v>
      </c>
      <c r="J73" s="14" t="s">
        <v>98</v>
      </c>
      <c r="K73" s="14" t="s">
        <v>99</v>
      </c>
      <c r="L73" s="14" t="s">
        <v>142</v>
      </c>
      <c r="M73" s="40" t="s">
        <v>143</v>
      </c>
      <c r="N73" s="14" t="s">
        <v>149</v>
      </c>
      <c r="O73" s="14" t="s">
        <v>157</v>
      </c>
      <c r="P73" s="14" t="s">
        <v>159</v>
      </c>
      <c r="Q73" s="14" t="s">
        <v>172</v>
      </c>
      <c r="R73" s="40" t="s">
        <v>173</v>
      </c>
      <c r="S73" s="14" t="s">
        <v>188</v>
      </c>
      <c r="T73" s="14" t="s">
        <v>189</v>
      </c>
      <c r="U73" s="14" t="s">
        <v>204</v>
      </c>
      <c r="V73" s="12" t="s">
        <v>25</v>
      </c>
      <c r="W73" s="42" t="s">
        <v>26</v>
      </c>
      <c r="X73" s="12" t="s">
        <v>27</v>
      </c>
      <c r="Y73" s="12" t="s">
        <v>28</v>
      </c>
      <c r="Z73" s="12" t="s">
        <v>29</v>
      </c>
      <c r="AA73" s="12" t="s">
        <v>30</v>
      </c>
      <c r="AB73" s="42" t="s">
        <v>31</v>
      </c>
      <c r="AC73" s="12" t="s">
        <v>90</v>
      </c>
      <c r="AD73" s="12" t="s">
        <v>91</v>
      </c>
      <c r="AE73" s="12" t="s">
        <v>92</v>
      </c>
      <c r="AF73" s="12" t="s">
        <v>93</v>
      </c>
      <c r="AG73" s="42" t="s">
        <v>94</v>
      </c>
      <c r="AH73" s="12" t="s">
        <v>109</v>
      </c>
      <c r="AI73" s="12" t="s">
        <v>110</v>
      </c>
      <c r="AJ73" s="12" t="s">
        <v>111</v>
      </c>
      <c r="AK73" s="12" t="s">
        <v>112</v>
      </c>
      <c r="AL73" s="42" t="s">
        <v>113</v>
      </c>
      <c r="AM73" s="12" t="s">
        <v>164</v>
      </c>
      <c r="AN73" s="12" t="s">
        <v>165</v>
      </c>
      <c r="AO73" s="12" t="s">
        <v>166</v>
      </c>
      <c r="AP73" s="12" t="s">
        <v>167</v>
      </c>
      <c r="AQ73" s="42" t="s">
        <v>168</v>
      </c>
      <c r="AR73" s="12" t="s">
        <v>195</v>
      </c>
      <c r="AS73" s="12" t="s">
        <v>196</v>
      </c>
      <c r="AT73" s="12" t="s">
        <v>197</v>
      </c>
      <c r="AU73" s="12" t="s">
        <v>198</v>
      </c>
      <c r="AV73" s="42" t="s">
        <v>199</v>
      </c>
    </row>
    <row r="74" spans="2:48" s="8" customFormat="1" outlineLevel="1" x14ac:dyDescent="0.3">
      <c r="B74" s="457" t="s">
        <v>115</v>
      </c>
      <c r="C74" s="458"/>
      <c r="D74" s="21">
        <v>5839</v>
      </c>
      <c r="E74" s="21">
        <v>5879</v>
      </c>
      <c r="F74" s="116">
        <v>5646</v>
      </c>
      <c r="G74" s="21">
        <v>5860</v>
      </c>
      <c r="H74" s="191">
        <f>G74</f>
        <v>5860</v>
      </c>
      <c r="I74" s="21">
        <v>6059</v>
      </c>
      <c r="J74" s="21">
        <v>6137</v>
      </c>
      <c r="K74" s="21">
        <v>6254</v>
      </c>
      <c r="L74" s="21">
        <v>6528</v>
      </c>
      <c r="M74" s="191">
        <f>L74</f>
        <v>6528</v>
      </c>
      <c r="N74" s="21">
        <v>6713</v>
      </c>
      <c r="O74" s="21">
        <f>+N74+O75</f>
        <v>6836</v>
      </c>
      <c r="P74" s="21">
        <f t="shared" ref="P74:Q74" si="211">+O74+P75</f>
        <v>7013</v>
      </c>
      <c r="Q74" s="21">
        <f t="shared" si="211"/>
        <v>7272</v>
      </c>
      <c r="R74" s="191">
        <f>Q74</f>
        <v>7272</v>
      </c>
      <c r="S74" s="21">
        <f>+Q74+S75</f>
        <v>7485</v>
      </c>
      <c r="T74" s="21">
        <f>+S74+T75</f>
        <v>7587</v>
      </c>
      <c r="U74" s="21">
        <f t="shared" ref="U74:V74" si="212">+T74+U75</f>
        <v>7717</v>
      </c>
      <c r="V74" s="21">
        <f t="shared" si="212"/>
        <v>7967</v>
      </c>
      <c r="W74" s="191">
        <f>V74</f>
        <v>7967</v>
      </c>
      <c r="X74" s="21">
        <f>+V74+X75</f>
        <v>8222</v>
      </c>
      <c r="Y74" s="21">
        <f>+X74+Y75</f>
        <v>8477</v>
      </c>
      <c r="Z74" s="21">
        <f t="shared" ref="Z74:AA74" si="213">+Y74+Z75</f>
        <v>8732</v>
      </c>
      <c r="AA74" s="21">
        <f t="shared" si="213"/>
        <v>8989</v>
      </c>
      <c r="AB74" s="191">
        <f>AA74</f>
        <v>8989</v>
      </c>
      <c r="AC74" s="21">
        <f>+AA74+AC75</f>
        <v>9253</v>
      </c>
      <c r="AD74" s="21">
        <f>+AC74+AD75</f>
        <v>9517</v>
      </c>
      <c r="AE74" s="21">
        <f t="shared" ref="AE74:AF74" si="214">+AD74+AE75</f>
        <v>9781</v>
      </c>
      <c r="AF74" s="21">
        <f t="shared" si="214"/>
        <v>10049</v>
      </c>
      <c r="AG74" s="191">
        <f>AF74</f>
        <v>10049</v>
      </c>
      <c r="AH74" s="21">
        <f>+AF74+AH75</f>
        <v>10323</v>
      </c>
      <c r="AI74" s="21">
        <f>+AH74+AI75</f>
        <v>10597</v>
      </c>
      <c r="AJ74" s="21">
        <f t="shared" ref="AJ74:AK74" si="215">+AI74+AJ75</f>
        <v>10871</v>
      </c>
      <c r="AK74" s="21">
        <f t="shared" si="215"/>
        <v>11147</v>
      </c>
      <c r="AL74" s="191">
        <f>AK74</f>
        <v>11147</v>
      </c>
      <c r="AM74" s="21">
        <f>+AK74+AM75</f>
        <v>11277</v>
      </c>
      <c r="AN74" s="21">
        <f>+AM74+AN75</f>
        <v>11407</v>
      </c>
      <c r="AO74" s="21">
        <f t="shared" ref="AO74:AP74" si="216">+AN74+AO75</f>
        <v>11537</v>
      </c>
      <c r="AP74" s="21">
        <f t="shared" si="216"/>
        <v>11667</v>
      </c>
      <c r="AQ74" s="191">
        <f>AP74</f>
        <v>11667</v>
      </c>
      <c r="AR74" s="21">
        <f>+AP74+AR75</f>
        <v>11797</v>
      </c>
      <c r="AS74" s="21">
        <f>+AR74+AS75</f>
        <v>11927</v>
      </c>
      <c r="AT74" s="21">
        <f t="shared" ref="AT74:AU74" si="217">+AS74+AT75</f>
        <v>12057</v>
      </c>
      <c r="AU74" s="21">
        <f t="shared" si="217"/>
        <v>12187</v>
      </c>
      <c r="AV74" s="191">
        <f>AU74</f>
        <v>12187</v>
      </c>
    </row>
    <row r="75" spans="2:48" outlineLevel="1" x14ac:dyDescent="0.3">
      <c r="B75" s="180" t="s">
        <v>46</v>
      </c>
      <c r="C75" s="201"/>
      <c r="D75" s="101">
        <f>+D74-5651</f>
        <v>188</v>
      </c>
      <c r="E75" s="101">
        <f>+E74-D74</f>
        <v>40</v>
      </c>
      <c r="F75" s="101">
        <f t="shared" ref="F75:G75" si="218">+F74-E74</f>
        <v>-233</v>
      </c>
      <c r="G75" s="101">
        <f t="shared" si="218"/>
        <v>214</v>
      </c>
      <c r="H75" s="26">
        <f>+SUM(D75:G75)</f>
        <v>209</v>
      </c>
      <c r="I75" s="101">
        <f>+I74-G74</f>
        <v>199</v>
      </c>
      <c r="J75" s="101">
        <f t="shared" ref="J75:L75" si="219">+J74-I74</f>
        <v>78</v>
      </c>
      <c r="K75" s="101">
        <f t="shared" si="219"/>
        <v>117</v>
      </c>
      <c r="L75" s="101">
        <f t="shared" si="219"/>
        <v>274</v>
      </c>
      <c r="M75" s="26">
        <f>+SUM(I75:L75)</f>
        <v>668</v>
      </c>
      <c r="N75" s="101">
        <v>185</v>
      </c>
      <c r="O75" s="101">
        <v>123</v>
      </c>
      <c r="P75" s="101">
        <v>177</v>
      </c>
      <c r="Q75" s="101">
        <v>259</v>
      </c>
      <c r="R75" s="26">
        <f>+SUM(N75:Q75)</f>
        <v>744</v>
      </c>
      <c r="S75" s="101">
        <v>213</v>
      </c>
      <c r="T75" s="101">
        <v>102</v>
      </c>
      <c r="U75" s="101">
        <v>130</v>
      </c>
      <c r="V75" s="33">
        <v>250</v>
      </c>
      <c r="W75" s="122">
        <f>+SUM(S75:V75)</f>
        <v>695</v>
      </c>
      <c r="X75" s="33">
        <v>255</v>
      </c>
      <c r="Y75" s="33">
        <v>255</v>
      </c>
      <c r="Z75" s="33">
        <v>255</v>
      </c>
      <c r="AA75" s="33">
        <v>257</v>
      </c>
      <c r="AB75" s="26">
        <f>+SUM(X75:AA75)</f>
        <v>1022</v>
      </c>
      <c r="AC75" s="33">
        <v>264</v>
      </c>
      <c r="AD75" s="33">
        <v>264</v>
      </c>
      <c r="AE75" s="33">
        <v>264</v>
      </c>
      <c r="AF75" s="33">
        <v>268</v>
      </c>
      <c r="AG75" s="26">
        <f>+SUM(AC75:AF75)</f>
        <v>1060</v>
      </c>
      <c r="AH75" s="95">
        <v>274</v>
      </c>
      <c r="AI75" s="33">
        <v>274</v>
      </c>
      <c r="AJ75" s="33">
        <v>274</v>
      </c>
      <c r="AK75" s="33">
        <v>276</v>
      </c>
      <c r="AL75" s="26">
        <f>+SUM(AH75:AK75)</f>
        <v>1098</v>
      </c>
      <c r="AM75" s="33">
        <v>130</v>
      </c>
      <c r="AN75" s="33">
        <v>130</v>
      </c>
      <c r="AO75" s="33">
        <v>130</v>
      </c>
      <c r="AP75" s="33">
        <v>130</v>
      </c>
      <c r="AQ75" s="26">
        <f>+SUM(AM75:AP75)</f>
        <v>520</v>
      </c>
      <c r="AR75" s="33">
        <v>130</v>
      </c>
      <c r="AS75" s="33">
        <v>130</v>
      </c>
      <c r="AT75" s="33">
        <v>130</v>
      </c>
      <c r="AU75" s="33">
        <v>130</v>
      </c>
      <c r="AV75" s="26">
        <f>+SUM(AR75:AU75)</f>
        <v>520</v>
      </c>
    </row>
    <row r="76" spans="2:48" outlineLevel="1" x14ac:dyDescent="0.3">
      <c r="B76" s="180" t="s">
        <v>201</v>
      </c>
      <c r="C76" s="201"/>
      <c r="D76" s="101"/>
      <c r="E76" s="101">
        <f>AVERAGE(D74,E74)</f>
        <v>5859</v>
      </c>
      <c r="F76" s="101">
        <f t="shared" ref="F76:G76" si="220">AVERAGE(E74,F74)</f>
        <v>5762.5</v>
      </c>
      <c r="G76" s="101">
        <f t="shared" si="220"/>
        <v>5753</v>
      </c>
      <c r="H76" s="26"/>
      <c r="I76" s="101">
        <f>AVERAGE(G74,I74)</f>
        <v>5959.5</v>
      </c>
      <c r="J76" s="101">
        <f t="shared" ref="J76:L76" si="221">AVERAGE(I74,J74)</f>
        <v>6098</v>
      </c>
      <c r="K76" s="101">
        <f t="shared" si="221"/>
        <v>6195.5</v>
      </c>
      <c r="L76" s="101">
        <f t="shared" si="221"/>
        <v>6391</v>
      </c>
      <c r="M76" s="26"/>
      <c r="N76" s="101">
        <f>AVERAGE(L74,N74)</f>
        <v>6620.5</v>
      </c>
      <c r="O76" s="101">
        <f t="shared" ref="O76:Q76" si="222">AVERAGE(N74,O74)</f>
        <v>6774.5</v>
      </c>
      <c r="P76" s="101">
        <f t="shared" si="222"/>
        <v>6924.5</v>
      </c>
      <c r="Q76" s="101">
        <f t="shared" si="222"/>
        <v>7142.5</v>
      </c>
      <c r="R76" s="26"/>
      <c r="S76" s="101">
        <f>AVERAGE(Q74,S74)</f>
        <v>7378.5</v>
      </c>
      <c r="T76" s="101">
        <f>AVERAGE(S74,T74)</f>
        <v>7536</v>
      </c>
      <c r="U76" s="101">
        <f t="shared" ref="U76:V76" si="223">AVERAGE(T74,U74)</f>
        <v>7652</v>
      </c>
      <c r="V76" s="101">
        <f t="shared" si="223"/>
        <v>7842</v>
      </c>
      <c r="W76" s="122"/>
      <c r="X76" s="101">
        <f>AVERAGE(V74,X74)</f>
        <v>8094.5</v>
      </c>
      <c r="Y76" s="101">
        <f t="shared" ref="Y76:AA76" si="224">AVERAGE(X74,Y74)</f>
        <v>8349.5</v>
      </c>
      <c r="Z76" s="101">
        <f t="shared" si="224"/>
        <v>8604.5</v>
      </c>
      <c r="AA76" s="101">
        <f t="shared" si="224"/>
        <v>8860.5</v>
      </c>
      <c r="AB76" s="26"/>
      <c r="AC76" s="101">
        <f>AVERAGE(AA74,AC74)</f>
        <v>9121</v>
      </c>
      <c r="AD76" s="101">
        <f t="shared" ref="AD76:AF76" si="225">AVERAGE(AC74,AD74)</f>
        <v>9385</v>
      </c>
      <c r="AE76" s="101">
        <f t="shared" si="225"/>
        <v>9649</v>
      </c>
      <c r="AF76" s="101">
        <f t="shared" si="225"/>
        <v>9915</v>
      </c>
      <c r="AG76" s="26"/>
      <c r="AH76" s="101">
        <f>AVERAGE(AF74,AH74)</f>
        <v>10186</v>
      </c>
      <c r="AI76" s="101">
        <f t="shared" ref="AI76:AK76" si="226">AVERAGE(AH74,AI74)</f>
        <v>10460</v>
      </c>
      <c r="AJ76" s="101">
        <f t="shared" si="226"/>
        <v>10734</v>
      </c>
      <c r="AK76" s="101">
        <f t="shared" si="226"/>
        <v>11009</v>
      </c>
      <c r="AL76" s="26"/>
      <c r="AM76" s="101">
        <f>AVERAGE(AK74,AM74)</f>
        <v>11212</v>
      </c>
      <c r="AN76" s="101">
        <f t="shared" ref="AN76:AP76" si="227">AVERAGE(AM74,AN74)</f>
        <v>11342</v>
      </c>
      <c r="AO76" s="101">
        <f t="shared" si="227"/>
        <v>11472</v>
      </c>
      <c r="AP76" s="101">
        <f t="shared" si="227"/>
        <v>11602</v>
      </c>
      <c r="AQ76" s="26"/>
      <c r="AR76" s="101">
        <f>AVERAGE(AP74,AR74)</f>
        <v>11732</v>
      </c>
      <c r="AS76" s="101">
        <f t="shared" ref="AS76:AU76" si="228">AVERAGE(AR74,AS74)</f>
        <v>11862</v>
      </c>
      <c r="AT76" s="101">
        <f t="shared" si="228"/>
        <v>11992</v>
      </c>
      <c r="AU76" s="101">
        <f t="shared" si="228"/>
        <v>12122</v>
      </c>
      <c r="AV76" s="26"/>
    </row>
    <row r="77" spans="2:48" s="20" customFormat="1" outlineLevel="1" x14ac:dyDescent="0.3">
      <c r="B77" s="180" t="s">
        <v>206</v>
      </c>
      <c r="C77" s="206"/>
      <c r="D77" s="43"/>
      <c r="E77" s="43">
        <f>+E78/E76</f>
        <v>0.22348523638846221</v>
      </c>
      <c r="F77" s="114">
        <f>+F78/F76</f>
        <v>0.2347592190889371</v>
      </c>
      <c r="G77" s="43">
        <f>+G78/G76</f>
        <v>0.22873283504258649</v>
      </c>
      <c r="H77" s="97"/>
      <c r="I77" s="43">
        <f>+I78/I76</f>
        <v>0.21976675895628828</v>
      </c>
      <c r="J77" s="43">
        <f>+J78/J76</f>
        <v>0.14798294522794359</v>
      </c>
      <c r="K77" s="43">
        <f>+K78/K76</f>
        <v>0.14131224275683965</v>
      </c>
      <c r="L77" s="43">
        <f>+L78/L76</f>
        <v>0.20314504772336098</v>
      </c>
      <c r="M77" s="97"/>
      <c r="N77" s="43">
        <f>+N78/N76</f>
        <v>0.21776300883619062</v>
      </c>
      <c r="O77" s="43">
        <f>+O78/O76</f>
        <v>0.20439884862351465</v>
      </c>
      <c r="P77" s="43">
        <f>+P78/P76</f>
        <v>0.20698967434471802</v>
      </c>
      <c r="Q77" s="43">
        <f>+Q78/Q76</f>
        <v>0.22541127056352817</v>
      </c>
      <c r="R77" s="97"/>
      <c r="S77" s="43">
        <f>+S78/S76</f>
        <v>0.20441824219014704</v>
      </c>
      <c r="T77" s="43">
        <f>+T78/T76</f>
        <v>0.17786624203821658</v>
      </c>
      <c r="U77" s="43">
        <f>+U78/U76</f>
        <v>0.15189492943021432</v>
      </c>
      <c r="V77" s="62">
        <f>Q77*0.8</f>
        <v>0.18032901645082255</v>
      </c>
      <c r="W77" s="132"/>
      <c r="X77" s="62">
        <f>S77*0.85</f>
        <v>0.17375550586162497</v>
      </c>
      <c r="Y77" s="62">
        <f>T77*0.95</f>
        <v>0.16897292993630575</v>
      </c>
      <c r="Z77" s="62">
        <f>U77*1.2</f>
        <v>0.18227391531625717</v>
      </c>
      <c r="AA77" s="62">
        <f>V77*1.2</f>
        <v>0.21639481974098707</v>
      </c>
      <c r="AB77" s="97"/>
      <c r="AC77" s="62">
        <f>X77*1.2</f>
        <v>0.20850660703394996</v>
      </c>
      <c r="AD77" s="62">
        <f>Y77*1.05</f>
        <v>0.17742157643312104</v>
      </c>
      <c r="AE77" s="62">
        <f>Z77*1.05</f>
        <v>0.19138761108207003</v>
      </c>
      <c r="AF77" s="62">
        <f>AA77*1.05</f>
        <v>0.22721456072803642</v>
      </c>
      <c r="AG77" s="97"/>
      <c r="AH77" s="62">
        <f>AC77*1.05</f>
        <v>0.21893193738564748</v>
      </c>
      <c r="AI77" s="62">
        <f t="shared" ref="AI77:AK77" si="229">AD77*1.05</f>
        <v>0.18629265525477709</v>
      </c>
      <c r="AJ77" s="62">
        <f t="shared" si="229"/>
        <v>0.20095699163617353</v>
      </c>
      <c r="AK77" s="62">
        <f t="shared" si="229"/>
        <v>0.23857528876443826</v>
      </c>
      <c r="AL77" s="97"/>
      <c r="AM77" s="62">
        <f>AH77*1.05</f>
        <v>0.22987853425492985</v>
      </c>
      <c r="AN77" s="62">
        <f>AI77*1.05</f>
        <v>0.19560728801751595</v>
      </c>
      <c r="AO77" s="62">
        <f>AJ77*1.05</f>
        <v>0.21100484121798221</v>
      </c>
      <c r="AP77" s="62">
        <f>AK77*1.05</f>
        <v>0.25050405320266017</v>
      </c>
      <c r="AQ77" s="97"/>
      <c r="AR77" s="62">
        <f>AM77*1.03</f>
        <v>0.23677489028257775</v>
      </c>
      <c r="AS77" s="62">
        <f>AN77*1.03</f>
        <v>0.20147550665804143</v>
      </c>
      <c r="AT77" s="62">
        <f>AO77*1.03</f>
        <v>0.21733498645452168</v>
      </c>
      <c r="AU77" s="62">
        <f>AP77*1.03</f>
        <v>0.25801917479873998</v>
      </c>
      <c r="AV77" s="97"/>
    </row>
    <row r="78" spans="2:48" s="8" customFormat="1" outlineLevel="1" x14ac:dyDescent="0.3">
      <c r="B78" s="445" t="s">
        <v>116</v>
      </c>
      <c r="C78" s="446"/>
      <c r="D78" s="50">
        <v>1278.0999999999999</v>
      </c>
      <c r="E78" s="50">
        <v>1309.4000000000001</v>
      </c>
      <c r="F78" s="103">
        <v>1352.8</v>
      </c>
      <c r="G78" s="50">
        <v>1315.9</v>
      </c>
      <c r="H78" s="97">
        <f>SUM(D78:G78)</f>
        <v>5256.2000000000007</v>
      </c>
      <c r="I78" s="50">
        <v>1309.7</v>
      </c>
      <c r="J78" s="50">
        <v>902.4</v>
      </c>
      <c r="K78" s="103">
        <v>875.5</v>
      </c>
      <c r="L78" s="50">
        <v>1298.3</v>
      </c>
      <c r="M78" s="97">
        <f>SUM(I78:L78)</f>
        <v>4385.8999999999996</v>
      </c>
      <c r="N78" s="50">
        <v>1441.7</v>
      </c>
      <c r="O78" s="50">
        <v>1384.7</v>
      </c>
      <c r="P78" s="50">
        <v>1433.3</v>
      </c>
      <c r="Q78" s="103">
        <v>1610</v>
      </c>
      <c r="R78" s="97">
        <f>SUM(N78:Q78)</f>
        <v>5869.7</v>
      </c>
      <c r="S78" s="50">
        <v>1508.3</v>
      </c>
      <c r="T78" s="50">
        <v>1340.4</v>
      </c>
      <c r="U78" s="50">
        <v>1162.3</v>
      </c>
      <c r="V78" s="50">
        <f>V77*V76</f>
        <v>1414.1401470073504</v>
      </c>
      <c r="W78" s="132">
        <f>SUM(S78:V78)</f>
        <v>5425.1401470073506</v>
      </c>
      <c r="X78" s="50">
        <f>X77*X76</f>
        <v>1406.4639421969234</v>
      </c>
      <c r="Y78" s="50">
        <f>Y77*Y76</f>
        <v>1410.8394785031849</v>
      </c>
      <c r="Z78" s="50">
        <f>Z77*Z76</f>
        <v>1568.3759043387347</v>
      </c>
      <c r="AA78" s="50">
        <f>AA77*AA76</f>
        <v>1917.3663003150159</v>
      </c>
      <c r="AB78" s="97">
        <f>SUM(X78:AA78)</f>
        <v>6303.0456253538587</v>
      </c>
      <c r="AC78" s="50">
        <f>AC77*AC76</f>
        <v>1901.7887627566577</v>
      </c>
      <c r="AD78" s="50">
        <f>AD77*AD76</f>
        <v>1665.101494824841</v>
      </c>
      <c r="AE78" s="50">
        <f>AE77*AE76</f>
        <v>1846.6990593308938</v>
      </c>
      <c r="AF78" s="50">
        <f>AF77*AF76</f>
        <v>2252.8323696184812</v>
      </c>
      <c r="AG78" s="97">
        <f>SUM(AC78:AF78)</f>
        <v>7666.4216865308736</v>
      </c>
      <c r="AH78" s="50">
        <f>AH77*AH76</f>
        <v>2230.0407142102054</v>
      </c>
      <c r="AI78" s="50">
        <f>AI77*AI76</f>
        <v>1948.6211739649684</v>
      </c>
      <c r="AJ78" s="50">
        <f>AJ77*AJ76</f>
        <v>2157.0723482226867</v>
      </c>
      <c r="AK78" s="50">
        <f>AK77*AK76</f>
        <v>2626.4753540077008</v>
      </c>
      <c r="AL78" s="97">
        <f>SUM(AH78:AK78)</f>
        <v>8962.2095904055604</v>
      </c>
      <c r="AM78" s="50">
        <f>AM77*AM76</f>
        <v>2577.3981260662736</v>
      </c>
      <c r="AN78" s="50">
        <f>AN77*AN76</f>
        <v>2218.577860694666</v>
      </c>
      <c r="AO78" s="50">
        <f>AO77*AO76</f>
        <v>2420.6475384526921</v>
      </c>
      <c r="AP78" s="50">
        <f>AP77*AP76</f>
        <v>2906.3480252572631</v>
      </c>
      <c r="AQ78" s="97">
        <f>SUM(AM78:AP78)</f>
        <v>10122.971550470895</v>
      </c>
      <c r="AR78" s="50">
        <f>AR77*AR76</f>
        <v>2777.8430127952024</v>
      </c>
      <c r="AS78" s="50">
        <f>AS77*AS76</f>
        <v>2389.9024599776876</v>
      </c>
      <c r="AT78" s="50">
        <f>AT77*AT76</f>
        <v>2606.2811575626238</v>
      </c>
      <c r="AU78" s="50">
        <f>AU77*AU76</f>
        <v>3127.7084369103259</v>
      </c>
      <c r="AV78" s="97">
        <f>SUM(AR78:AU78)</f>
        <v>10901.73506724584</v>
      </c>
    </row>
    <row r="79" spans="2:48" s="8" customFormat="1" outlineLevel="1" x14ac:dyDescent="0.3">
      <c r="B79" s="38" t="s">
        <v>200</v>
      </c>
      <c r="C79" s="206"/>
      <c r="D79" s="43"/>
      <c r="E79" s="43"/>
      <c r="F79" s="43"/>
      <c r="G79" s="43"/>
      <c r="H79" s="97"/>
      <c r="I79" s="27">
        <f>I78/D78-1</f>
        <v>2.4724199984351936E-2</v>
      </c>
      <c r="J79" s="27">
        <f>J78/E78-1</f>
        <v>-0.31082938750572786</v>
      </c>
      <c r="K79" s="27">
        <f>K78/F78-1</f>
        <v>-0.35282377291543465</v>
      </c>
      <c r="L79" s="27">
        <f>L78/G78-1</f>
        <v>-1.3374876510373279E-2</v>
      </c>
      <c r="M79" s="97"/>
      <c r="N79" s="27">
        <f>N78/I78-1</f>
        <v>0.10078643964266631</v>
      </c>
      <c r="O79" s="27">
        <f>O78/J78-1</f>
        <v>0.53446365248226968</v>
      </c>
      <c r="P79" s="27">
        <f>P78/K78-1</f>
        <v>0.63712164477441457</v>
      </c>
      <c r="Q79" s="27">
        <f>Q78/L78-1</f>
        <v>0.24008318570438281</v>
      </c>
      <c r="R79" s="97"/>
      <c r="S79" s="27">
        <f t="shared" ref="S79:AP79" si="230">S78/N78-1</f>
        <v>4.6195463688700755E-2</v>
      </c>
      <c r="T79" s="27">
        <f t="shared" si="230"/>
        <v>-3.1992489347873132E-2</v>
      </c>
      <c r="U79" s="27">
        <f t="shared" si="230"/>
        <v>-0.18907416451545389</v>
      </c>
      <c r="V79" s="27">
        <f t="shared" si="230"/>
        <v>-0.12165208260413019</v>
      </c>
      <c r="W79" s="375">
        <f t="shared" si="230"/>
        <v>-7.5738087635253803E-2</v>
      </c>
      <c r="X79" s="27">
        <f t="shared" si="230"/>
        <v>-6.7517110523819257E-2</v>
      </c>
      <c r="Y79" s="27">
        <f t="shared" si="230"/>
        <v>5.2551088110403432E-2</v>
      </c>
      <c r="Z79" s="27">
        <f t="shared" si="230"/>
        <v>0.34937271301620476</v>
      </c>
      <c r="AA79" s="27">
        <f t="shared" si="230"/>
        <v>0.35585309869931159</v>
      </c>
      <c r="AB79" s="375">
        <f t="shared" si="230"/>
        <v>0.16182171419678149</v>
      </c>
      <c r="AC79" s="27">
        <f t="shared" si="230"/>
        <v>0.35217740441040202</v>
      </c>
      <c r="AD79" s="27">
        <f t="shared" si="230"/>
        <v>0.18022037247739386</v>
      </c>
      <c r="AE79" s="27">
        <f t="shared" si="230"/>
        <v>0.17745946888256148</v>
      </c>
      <c r="AF79" s="27">
        <f t="shared" si="230"/>
        <v>0.17496190959878111</v>
      </c>
      <c r="AG79" s="375">
        <f t="shared" si="230"/>
        <v>0.21630433003576321</v>
      </c>
      <c r="AH79" s="27">
        <f t="shared" si="230"/>
        <v>0.17260168841135859</v>
      </c>
      <c r="AI79" s="27">
        <f t="shared" si="230"/>
        <v>0.17027171017581244</v>
      </c>
      <c r="AJ79" s="27">
        <f t="shared" si="230"/>
        <v>0.1680692299720179</v>
      </c>
      <c r="AK79" s="27">
        <f t="shared" si="230"/>
        <v>0.16585476550680789</v>
      </c>
      <c r="AL79" s="375">
        <f t="shared" si="230"/>
        <v>0.16902121444105478</v>
      </c>
      <c r="AM79" s="27">
        <f t="shared" si="230"/>
        <v>0.15576281170233641</v>
      </c>
      <c r="AN79" s="27">
        <f t="shared" si="230"/>
        <v>0.13853728489483763</v>
      </c>
      <c r="AO79" s="27">
        <f t="shared" si="230"/>
        <v>0.12219116825041931</v>
      </c>
      <c r="AP79" s="27">
        <f t="shared" si="230"/>
        <v>0.10655827050594957</v>
      </c>
      <c r="AQ79" s="97"/>
      <c r="AR79" s="27">
        <f>AR78/AM78-1</f>
        <v>7.7770246164823531E-2</v>
      </c>
      <c r="AS79" s="27">
        <f>AS78/AN78-1</f>
        <v>7.7222712043731212E-2</v>
      </c>
      <c r="AT79" s="27">
        <f>AT78/AO78-1</f>
        <v>7.6687587168758675E-2</v>
      </c>
      <c r="AU79" s="27">
        <f>AU78/AP78-1</f>
        <v>7.6164454404413107E-2</v>
      </c>
      <c r="AV79" s="97"/>
    </row>
    <row r="80" spans="2:48" outlineLevel="1" x14ac:dyDescent="0.3">
      <c r="B80" s="236" t="s">
        <v>44</v>
      </c>
      <c r="C80" s="221"/>
      <c r="D80" s="222">
        <v>0.01</v>
      </c>
      <c r="E80" s="222">
        <v>0</v>
      </c>
      <c r="F80" s="222">
        <v>0.01</v>
      </c>
      <c r="G80" s="222">
        <v>0.01</v>
      </c>
      <c r="H80" s="223"/>
      <c r="I80" s="222">
        <v>-0.01</v>
      </c>
      <c r="J80" s="222">
        <v>-0.32</v>
      </c>
      <c r="K80" s="222">
        <v>-0.44</v>
      </c>
      <c r="L80" s="224">
        <v>-0.15</v>
      </c>
      <c r="M80" s="223"/>
      <c r="N80" s="222">
        <v>-0.03</v>
      </c>
      <c r="O80" s="222">
        <v>0.26</v>
      </c>
      <c r="P80" s="222">
        <v>0.55000000000000004</v>
      </c>
      <c r="Q80" s="222">
        <v>0.06</v>
      </c>
      <c r="R80" s="225"/>
      <c r="S80" s="224">
        <v>0.02</v>
      </c>
      <c r="T80" s="224">
        <v>-0.03</v>
      </c>
      <c r="U80" s="224">
        <v>-0.18</v>
      </c>
      <c r="V80" s="224"/>
      <c r="W80" s="223"/>
      <c r="X80" s="224"/>
      <c r="Y80" s="224"/>
      <c r="Z80" s="224"/>
      <c r="AA80" s="224"/>
      <c r="AB80" s="225"/>
      <c r="AC80" s="224"/>
      <c r="AD80" s="224"/>
      <c r="AE80" s="224"/>
      <c r="AF80" s="224"/>
      <c r="AG80" s="225"/>
      <c r="AH80" s="224"/>
      <c r="AI80" s="224"/>
      <c r="AJ80" s="224"/>
      <c r="AK80" s="224"/>
      <c r="AL80" s="225"/>
      <c r="AM80" s="224"/>
      <c r="AN80" s="224"/>
      <c r="AO80" s="224"/>
      <c r="AP80" s="224"/>
      <c r="AQ80" s="225"/>
      <c r="AR80" s="224"/>
      <c r="AS80" s="224"/>
      <c r="AT80" s="224"/>
      <c r="AU80" s="224"/>
      <c r="AV80" s="225"/>
    </row>
    <row r="81" spans="1:48" outlineLevel="1" x14ac:dyDescent="0.3">
      <c r="B81" s="180" t="s">
        <v>43</v>
      </c>
      <c r="C81" s="207"/>
      <c r="D81" s="151">
        <v>0.01</v>
      </c>
      <c r="E81" s="151">
        <v>0.02</v>
      </c>
      <c r="F81" s="151">
        <v>0.03</v>
      </c>
      <c r="G81" s="151">
        <v>0.03</v>
      </c>
      <c r="H81" s="60"/>
      <c r="I81" s="151">
        <v>0.02</v>
      </c>
      <c r="J81" s="151">
        <v>0.01</v>
      </c>
      <c r="K81" s="151">
        <v>0.13</v>
      </c>
      <c r="L81" s="59">
        <v>7.0000000000000007E-2</v>
      </c>
      <c r="M81" s="60"/>
      <c r="N81" s="151">
        <v>-0.1</v>
      </c>
      <c r="O81" s="59">
        <v>7.0000000000000007E-2</v>
      </c>
      <c r="P81" s="59">
        <v>-0.09</v>
      </c>
      <c r="Q81" s="151">
        <v>-0.02</v>
      </c>
      <c r="R81" s="60"/>
      <c r="S81" s="59">
        <v>-0.05</v>
      </c>
      <c r="T81" s="59">
        <v>-0.05</v>
      </c>
      <c r="U81" s="59">
        <v>-0.15</v>
      </c>
      <c r="V81" s="59"/>
      <c r="W81" s="148"/>
      <c r="X81" s="59"/>
      <c r="Y81" s="59"/>
      <c r="Z81" s="59"/>
      <c r="AA81" s="59"/>
      <c r="AB81" s="60"/>
      <c r="AC81" s="59"/>
      <c r="AD81" s="59"/>
      <c r="AE81" s="59"/>
      <c r="AF81" s="59"/>
      <c r="AG81" s="60"/>
      <c r="AH81" s="59"/>
      <c r="AI81" s="59"/>
      <c r="AJ81" s="59"/>
      <c r="AK81" s="59"/>
      <c r="AL81" s="60"/>
      <c r="AM81" s="59"/>
      <c r="AN81" s="59"/>
      <c r="AO81" s="59"/>
      <c r="AP81" s="59"/>
      <c r="AQ81" s="60"/>
      <c r="AR81" s="59"/>
      <c r="AS81" s="59"/>
      <c r="AT81" s="59"/>
      <c r="AU81" s="59"/>
      <c r="AV81" s="60"/>
    </row>
    <row r="82" spans="1:48" s="8" customFormat="1" outlineLevel="1" x14ac:dyDescent="0.3">
      <c r="B82" s="208" t="s">
        <v>45</v>
      </c>
      <c r="C82" s="206"/>
      <c r="D82" s="152">
        <v>0.02</v>
      </c>
      <c r="E82" s="152">
        <v>0.02</v>
      </c>
      <c r="F82" s="152">
        <v>0.05</v>
      </c>
      <c r="G82" s="152">
        <v>0.03</v>
      </c>
      <c r="H82" s="61"/>
      <c r="I82" s="152">
        <v>0.01</v>
      </c>
      <c r="J82" s="152">
        <v>-0.31</v>
      </c>
      <c r="K82" s="152">
        <v>-0.37</v>
      </c>
      <c r="L82" s="157">
        <v>-0.1</v>
      </c>
      <c r="M82" s="61"/>
      <c r="N82" s="152">
        <v>0.08</v>
      </c>
      <c r="O82" s="152">
        <v>0.35</v>
      </c>
      <c r="P82" s="152">
        <v>0.41</v>
      </c>
      <c r="Q82" s="152">
        <v>0.03</v>
      </c>
      <c r="R82" s="377">
        <f>R92/M92-1</f>
        <v>0.32353965857623956</v>
      </c>
      <c r="S82" s="152">
        <v>-0.03</v>
      </c>
      <c r="T82" s="152">
        <v>-0.08</v>
      </c>
      <c r="U82" s="152">
        <v>-0.04</v>
      </c>
      <c r="V82" s="152"/>
      <c r="W82" s="377">
        <f>W92/R92-1</f>
        <v>2.1698124630008753E-2</v>
      </c>
      <c r="X82" s="157"/>
      <c r="Y82" s="157"/>
      <c r="Z82" s="157"/>
      <c r="AA82" s="157"/>
      <c r="AB82" s="377">
        <f>AB92/W92-1</f>
        <v>0.18596828727514603</v>
      </c>
      <c r="AC82" s="157"/>
      <c r="AD82" s="157"/>
      <c r="AE82" s="157"/>
      <c r="AF82" s="157"/>
      <c r="AG82" s="377">
        <f>AG92/AB92-1</f>
        <v>0.19889504341978603</v>
      </c>
      <c r="AH82" s="157"/>
      <c r="AI82" s="157"/>
      <c r="AJ82" s="157"/>
      <c r="AK82" s="157"/>
      <c r="AL82" s="377">
        <f>AL92/AG92-1</f>
        <v>0.16298126736888419</v>
      </c>
      <c r="AM82" s="157"/>
      <c r="AN82" s="157"/>
      <c r="AO82" s="157"/>
      <c r="AP82" s="157">
        <v>0.04</v>
      </c>
      <c r="AQ82" s="134"/>
      <c r="AR82" s="157"/>
      <c r="AS82" s="157"/>
      <c r="AT82" s="157"/>
      <c r="AU82" s="157">
        <v>0.04</v>
      </c>
      <c r="AV82" s="61"/>
    </row>
    <row r="83" spans="1:48" s="8" customFormat="1" outlineLevel="1" x14ac:dyDescent="0.3">
      <c r="B83" s="451" t="s">
        <v>117</v>
      </c>
      <c r="C83" s="452"/>
      <c r="D83" s="117">
        <v>6373</v>
      </c>
      <c r="E83" s="117">
        <v>6586</v>
      </c>
      <c r="F83" s="117">
        <v>7127</v>
      </c>
      <c r="G83" s="117">
        <v>7329</v>
      </c>
      <c r="H83" s="192">
        <f>G83</f>
        <v>7329</v>
      </c>
      <c r="I83" s="117">
        <v>7533</v>
      </c>
      <c r="J83" s="117">
        <v>7642</v>
      </c>
      <c r="K83" s="117">
        <v>7691</v>
      </c>
      <c r="L83" s="117">
        <v>9735</v>
      </c>
      <c r="M83" s="192">
        <f>L83</f>
        <v>9735</v>
      </c>
      <c r="N83" s="117">
        <v>7917</v>
      </c>
      <c r="O83" s="67">
        <f>+N83+O84</f>
        <v>7987</v>
      </c>
      <c r="P83" s="67">
        <f t="shared" ref="P83" si="231">+O83+P84</f>
        <v>8107</v>
      </c>
      <c r="Q83" s="67">
        <v>9735</v>
      </c>
      <c r="R83" s="192">
        <f>Q83</f>
        <v>9735</v>
      </c>
      <c r="S83" s="67">
        <f>+Q83+S84</f>
        <v>9944</v>
      </c>
      <c r="T83" s="67">
        <f>+S83+T84</f>
        <v>10117</v>
      </c>
      <c r="U83" s="67">
        <f t="shared" ref="U83:V83" si="232">+T83+U84</f>
        <v>10181</v>
      </c>
      <c r="V83" s="67">
        <f t="shared" si="232"/>
        <v>10331</v>
      </c>
      <c r="W83" s="253">
        <f>V83</f>
        <v>10331</v>
      </c>
      <c r="X83" s="67">
        <f>+V83+X84</f>
        <v>10567</v>
      </c>
      <c r="Y83" s="67">
        <f>+X83+Y84</f>
        <v>10803</v>
      </c>
      <c r="Z83" s="67">
        <f t="shared" ref="Z83:AA83" si="233">+Y83+Z84</f>
        <v>11039</v>
      </c>
      <c r="AA83" s="67">
        <f t="shared" si="233"/>
        <v>11277</v>
      </c>
      <c r="AB83" s="192">
        <f>AA83</f>
        <v>11277</v>
      </c>
      <c r="AC83" s="67">
        <f>+AA83+AC84</f>
        <v>11521</v>
      </c>
      <c r="AD83" s="67">
        <f>+AC83+AD84</f>
        <v>11765</v>
      </c>
      <c r="AE83" s="67">
        <f t="shared" ref="AE83:AF83" si="234">+AD83+AE84</f>
        <v>12009</v>
      </c>
      <c r="AF83" s="67">
        <f t="shared" si="234"/>
        <v>12255</v>
      </c>
      <c r="AG83" s="192">
        <f>AF83</f>
        <v>12255</v>
      </c>
      <c r="AH83" s="67">
        <f>+AF83+AH84</f>
        <v>12508</v>
      </c>
      <c r="AI83" s="67">
        <f>+AH83+AI84</f>
        <v>12761</v>
      </c>
      <c r="AJ83" s="67">
        <f t="shared" ref="AJ83:AK83" si="235">+AI83+AJ84</f>
        <v>13014</v>
      </c>
      <c r="AK83" s="67">
        <f t="shared" si="235"/>
        <v>13268</v>
      </c>
      <c r="AL83" s="192">
        <f>AK83</f>
        <v>13268</v>
      </c>
      <c r="AM83" s="67">
        <f>+AK83+AM84</f>
        <v>13332</v>
      </c>
      <c r="AN83" s="67">
        <f>+AM83+AN84</f>
        <v>13396</v>
      </c>
      <c r="AO83" s="67">
        <f t="shared" ref="AO83:AP83" si="236">+AN83+AO84</f>
        <v>13460</v>
      </c>
      <c r="AP83" s="67">
        <f t="shared" si="236"/>
        <v>13524</v>
      </c>
      <c r="AQ83" s="192">
        <f>AP83</f>
        <v>13524</v>
      </c>
      <c r="AR83" s="67">
        <f>+AP83+AR84</f>
        <v>13588</v>
      </c>
      <c r="AS83" s="67">
        <f>+AR83+AS84</f>
        <v>13652</v>
      </c>
      <c r="AT83" s="67">
        <f t="shared" ref="AT83:AU83" si="237">+AS83+AT84</f>
        <v>13716</v>
      </c>
      <c r="AU83" s="67">
        <f t="shared" si="237"/>
        <v>13780</v>
      </c>
      <c r="AV83" s="192">
        <f>AU83</f>
        <v>13780</v>
      </c>
    </row>
    <row r="84" spans="1:48" outlineLevel="1" x14ac:dyDescent="0.3">
      <c r="B84" s="180" t="s">
        <v>47</v>
      </c>
      <c r="C84" s="201"/>
      <c r="D84" s="101">
        <f>+D83-6201</f>
        <v>172</v>
      </c>
      <c r="E84" s="101">
        <f>+E83-D83</f>
        <v>213</v>
      </c>
      <c r="F84" s="101">
        <f t="shared" ref="F84:G84" si="238">+F83-E83</f>
        <v>541</v>
      </c>
      <c r="G84" s="101">
        <f t="shared" si="238"/>
        <v>202</v>
      </c>
      <c r="H84" s="122">
        <f>+SUM(D84:G84)</f>
        <v>1128</v>
      </c>
      <c r="I84" s="101">
        <f>+I83-G83</f>
        <v>204</v>
      </c>
      <c r="J84" s="101">
        <f t="shared" ref="J84:K84" si="239">+J83-I83</f>
        <v>109</v>
      </c>
      <c r="K84" s="101">
        <f t="shared" si="239"/>
        <v>49</v>
      </c>
      <c r="L84" s="101">
        <v>82</v>
      </c>
      <c r="M84" s="122">
        <f>+SUM(I84:L84)</f>
        <v>444</v>
      </c>
      <c r="N84" s="101">
        <v>139</v>
      </c>
      <c r="O84" s="101">
        <v>70</v>
      </c>
      <c r="P84" s="101">
        <v>120</v>
      </c>
      <c r="Q84" s="101">
        <v>205</v>
      </c>
      <c r="R84" s="122">
        <f>+SUM(N84:Q84)</f>
        <v>534</v>
      </c>
      <c r="S84" s="101">
        <v>209</v>
      </c>
      <c r="T84" s="101">
        <v>173</v>
      </c>
      <c r="U84" s="101">
        <v>64</v>
      </c>
      <c r="V84" s="33">
        <v>150</v>
      </c>
      <c r="W84" s="122">
        <f>+SUM(S84:V84)</f>
        <v>596</v>
      </c>
      <c r="X84" s="33">
        <v>236</v>
      </c>
      <c r="Y84" s="33">
        <v>236</v>
      </c>
      <c r="Z84" s="33">
        <v>236</v>
      </c>
      <c r="AA84" s="33">
        <v>238</v>
      </c>
      <c r="AB84" s="122">
        <f>+SUM(X84:AA84)</f>
        <v>946</v>
      </c>
      <c r="AC84" s="33">
        <v>244</v>
      </c>
      <c r="AD84" s="33">
        <v>244</v>
      </c>
      <c r="AE84" s="33">
        <v>244</v>
      </c>
      <c r="AF84" s="33">
        <v>246</v>
      </c>
      <c r="AG84" s="122">
        <f>+SUM(AC84:AF84)</f>
        <v>978</v>
      </c>
      <c r="AH84" s="33">
        <v>253</v>
      </c>
      <c r="AI84" s="33">
        <v>253</v>
      </c>
      <c r="AJ84" s="33">
        <v>253</v>
      </c>
      <c r="AK84" s="33">
        <v>254</v>
      </c>
      <c r="AL84" s="122">
        <f>+SUM(AH84:AK84)</f>
        <v>1013</v>
      </c>
      <c r="AM84" s="33">
        <v>64</v>
      </c>
      <c r="AN84" s="33">
        <v>64</v>
      </c>
      <c r="AO84" s="33">
        <v>64</v>
      </c>
      <c r="AP84" s="33">
        <v>64</v>
      </c>
      <c r="AQ84" s="122">
        <f>+SUM(AM84:AP84)</f>
        <v>256</v>
      </c>
      <c r="AR84" s="33">
        <v>64</v>
      </c>
      <c r="AS84" s="33">
        <v>64</v>
      </c>
      <c r="AT84" s="33">
        <v>64</v>
      </c>
      <c r="AU84" s="33">
        <v>64</v>
      </c>
      <c r="AV84" s="122">
        <f>+SUM(AR84:AU84)</f>
        <v>256</v>
      </c>
    </row>
    <row r="85" spans="1:48" outlineLevel="1" x14ac:dyDescent="0.3">
      <c r="B85" s="180" t="s">
        <v>49</v>
      </c>
      <c r="C85" s="201"/>
      <c r="D85" s="16">
        <f>AVERAGE(D83,6201)</f>
        <v>6287</v>
      </c>
      <c r="E85" s="16">
        <f>AVERAGE(E83,D83)</f>
        <v>6479.5</v>
      </c>
      <c r="F85" s="16">
        <f t="shared" ref="F85:G85" si="240">AVERAGE(F83,E83)</f>
        <v>6856.5</v>
      </c>
      <c r="G85" s="16">
        <f t="shared" si="240"/>
        <v>7228</v>
      </c>
      <c r="H85" s="26"/>
      <c r="I85" s="16">
        <f>AVERAGE(I83,G83)</f>
        <v>7431</v>
      </c>
      <c r="J85" s="16">
        <f>AVERAGE(J83,I83)</f>
        <v>7587.5</v>
      </c>
      <c r="K85" s="16">
        <f t="shared" ref="K85:L85" si="241">AVERAGE(K83,J83)</f>
        <v>7666.5</v>
      </c>
      <c r="L85" s="16">
        <f t="shared" si="241"/>
        <v>8713</v>
      </c>
      <c r="M85" s="6"/>
      <c r="N85" s="16">
        <f>AVERAGE(N83,L83)</f>
        <v>8826</v>
      </c>
      <c r="O85" s="16">
        <f>AVERAGE(O83,N83)</f>
        <v>7952</v>
      </c>
      <c r="P85" s="16">
        <f t="shared" ref="P85:Q85" si="242">AVERAGE(P83,O83)</f>
        <v>8047</v>
      </c>
      <c r="Q85" s="16">
        <f t="shared" si="242"/>
        <v>8921</v>
      </c>
      <c r="R85" s="6"/>
      <c r="S85" s="16">
        <f>AVERAGE(S83,Q83)</f>
        <v>9839.5</v>
      </c>
      <c r="T85" s="16">
        <f>AVERAGE(T83,S83)</f>
        <v>10030.5</v>
      </c>
      <c r="U85" s="16">
        <f t="shared" ref="U85:V85" si="243">AVERAGE(U83,T83)</f>
        <v>10149</v>
      </c>
      <c r="V85" s="16">
        <f t="shared" si="243"/>
        <v>10256</v>
      </c>
      <c r="W85" s="130"/>
      <c r="X85" s="16">
        <f>AVERAGE(X83,V83)</f>
        <v>10449</v>
      </c>
      <c r="Y85" s="16">
        <f>AVERAGE(Y83,X83)</f>
        <v>10685</v>
      </c>
      <c r="Z85" s="16">
        <f t="shared" ref="Z85:AA85" si="244">AVERAGE(Z83,Y83)</f>
        <v>10921</v>
      </c>
      <c r="AA85" s="16">
        <f t="shared" si="244"/>
        <v>11158</v>
      </c>
      <c r="AB85" s="6"/>
      <c r="AC85" s="16">
        <f>AVERAGE(AC83,AA83)</f>
        <v>11399</v>
      </c>
      <c r="AD85" s="16">
        <f>AVERAGE(AD83,AC83)</f>
        <v>11643</v>
      </c>
      <c r="AE85" s="16">
        <f t="shared" ref="AE85:AF85" si="245">AVERAGE(AE83,AD83)</f>
        <v>11887</v>
      </c>
      <c r="AF85" s="16">
        <f t="shared" si="245"/>
        <v>12132</v>
      </c>
      <c r="AG85" s="6"/>
      <c r="AH85" s="16">
        <f>AVERAGE(AH83,AF83)</f>
        <v>12381.5</v>
      </c>
      <c r="AI85" s="16">
        <f>AVERAGE(AI83,AH83)</f>
        <v>12634.5</v>
      </c>
      <c r="AJ85" s="16">
        <f t="shared" ref="AJ85:AK85" si="246">AVERAGE(AJ83,AI83)</f>
        <v>12887.5</v>
      </c>
      <c r="AK85" s="16">
        <f t="shared" si="246"/>
        <v>13141</v>
      </c>
      <c r="AL85" s="6"/>
      <c r="AM85" s="16">
        <f>AVERAGE(AM83,AK83)</f>
        <v>13300</v>
      </c>
      <c r="AN85" s="16">
        <f>AVERAGE(AN83,AM83)</f>
        <v>13364</v>
      </c>
      <c r="AO85" s="16">
        <f t="shared" ref="AO85:AP85" si="247">AVERAGE(AO83,AN83)</f>
        <v>13428</v>
      </c>
      <c r="AP85" s="16">
        <f t="shared" si="247"/>
        <v>13492</v>
      </c>
      <c r="AQ85" s="6"/>
      <c r="AR85" s="16">
        <f>AVERAGE(AR83,AP83)</f>
        <v>13556</v>
      </c>
      <c r="AS85" s="16">
        <f>AVERAGE(AS83,AR83)</f>
        <v>13620</v>
      </c>
      <c r="AT85" s="16">
        <f t="shared" ref="AT85:AU85" si="248">AVERAGE(AT83,AS83)</f>
        <v>13684</v>
      </c>
      <c r="AU85" s="16">
        <f t="shared" si="248"/>
        <v>13748</v>
      </c>
      <c r="AV85" s="6"/>
    </row>
    <row r="86" spans="1:48" outlineLevel="1" x14ac:dyDescent="0.3">
      <c r="B86" s="180" t="s">
        <v>48</v>
      </c>
      <c r="C86" s="201"/>
      <c r="D86" s="43">
        <f>+D87/D85</f>
        <v>3.5390488309209482E-2</v>
      </c>
      <c r="E86" s="114">
        <f>+E87/E85</f>
        <v>3.3197005941816495E-2</v>
      </c>
      <c r="F86" s="114">
        <f>+F87/F85</f>
        <v>3.335521038430686E-2</v>
      </c>
      <c r="G86" s="114">
        <f>+G87/G85</f>
        <v>3.468456004427227E-2</v>
      </c>
      <c r="H86" s="26"/>
      <c r="I86" s="114">
        <f t="shared" ref="I86:S86" si="249">+I87/I85</f>
        <v>3.4275333064190554E-2</v>
      </c>
      <c r="J86" s="114">
        <f t="shared" si="249"/>
        <v>2.97331136738056E-2</v>
      </c>
      <c r="K86" s="114">
        <f t="shared" si="249"/>
        <v>8.4784451835909474E-3</v>
      </c>
      <c r="L86" s="114">
        <f t="shared" si="249"/>
        <v>2.3837943303110294E-2</v>
      </c>
      <c r="M86" s="6"/>
      <c r="N86" s="114">
        <f t="shared" si="249"/>
        <v>2.2388397915250397E-2</v>
      </c>
      <c r="O86" s="114">
        <f t="shared" si="249"/>
        <v>2.5251509054325959E-2</v>
      </c>
      <c r="P86" s="114">
        <f t="shared" si="249"/>
        <v>2.6307940847520812E-2</v>
      </c>
      <c r="Q86" s="114">
        <f t="shared" si="249"/>
        <v>3.228337630310503E-2</v>
      </c>
      <c r="R86" s="6"/>
      <c r="S86" s="114">
        <f t="shared" si="249"/>
        <v>3.4036282331419275E-2</v>
      </c>
      <c r="T86" s="114">
        <f>+T87/T85</f>
        <v>3.4145855141817456E-2</v>
      </c>
      <c r="U86" s="114">
        <f>+U87/U85</f>
        <v>4.065425165040891E-2</v>
      </c>
      <c r="V86" s="62">
        <f>Q86*1.2</f>
        <v>3.8740051563726036E-2</v>
      </c>
      <c r="W86" s="130"/>
      <c r="X86" s="62">
        <f>S86*1.2</f>
        <v>4.0843538797703131E-2</v>
      </c>
      <c r="Y86" s="62">
        <f>T86*1.2</f>
        <v>4.0975026170180943E-2</v>
      </c>
      <c r="Z86" s="62">
        <f>U86*1.2</f>
        <v>4.8785101980490693E-2</v>
      </c>
      <c r="AA86" s="62">
        <f>V86*1.2</f>
        <v>4.648806187647124E-2</v>
      </c>
      <c r="AB86" s="6"/>
      <c r="AC86" s="62">
        <f>X86*1.05</f>
        <v>4.2885715737588287E-2</v>
      </c>
      <c r="AD86" s="62">
        <f>Y86*1.05</f>
        <v>4.302377747868999E-2</v>
      </c>
      <c r="AE86" s="62">
        <f>Z86*1.05</f>
        <v>5.1224357079515233E-2</v>
      </c>
      <c r="AF86" s="62">
        <f>AA86*1.05</f>
        <v>4.8812464970294803E-2</v>
      </c>
      <c r="AG86" s="6"/>
      <c r="AH86" s="62">
        <f>AC86*1.05</f>
        <v>4.5030001524467705E-2</v>
      </c>
      <c r="AI86" s="62">
        <f t="shared" ref="AI86:AK86" si="250">AD86*1.05</f>
        <v>4.5174966352624489E-2</v>
      </c>
      <c r="AJ86" s="62">
        <f t="shared" si="250"/>
        <v>5.3785574933490995E-2</v>
      </c>
      <c r="AK86" s="62">
        <f t="shared" si="250"/>
        <v>5.1253088218809542E-2</v>
      </c>
      <c r="AL86" s="6"/>
      <c r="AM86" s="62">
        <f>AH86*1.05</f>
        <v>4.7281501600691091E-2</v>
      </c>
      <c r="AN86" s="62">
        <f>AI86*1.05</f>
        <v>4.7433714670255714E-2</v>
      </c>
      <c r="AO86" s="62">
        <f>AJ86*1.05</f>
        <v>5.6474853680165547E-2</v>
      </c>
      <c r="AP86" s="62">
        <f>AK86*1.05</f>
        <v>5.3815742629750023E-2</v>
      </c>
      <c r="AQ86" s="6"/>
      <c r="AR86" s="62">
        <f>AM86*1.03</f>
        <v>4.8699946648711821E-2</v>
      </c>
      <c r="AS86" s="62">
        <f>AN86*1.03</f>
        <v>4.8856726110363388E-2</v>
      </c>
      <c r="AT86" s="62">
        <f>AO86*1.03</f>
        <v>5.8169099290570514E-2</v>
      </c>
      <c r="AU86" s="62">
        <f>AP86*1.03</f>
        <v>5.5430214908642528E-2</v>
      </c>
      <c r="AV86" s="6"/>
    </row>
    <row r="87" spans="1:48" s="8" customFormat="1" outlineLevel="1" x14ac:dyDescent="0.3">
      <c r="B87" s="453" t="s">
        <v>118</v>
      </c>
      <c r="C87" s="454"/>
      <c r="D87" s="115">
        <v>222.5</v>
      </c>
      <c r="E87" s="115">
        <v>215.1</v>
      </c>
      <c r="F87" s="115">
        <v>228.7</v>
      </c>
      <c r="G87" s="115">
        <v>250.7</v>
      </c>
      <c r="H87" s="73">
        <f>SUM(D87:G87)</f>
        <v>917</v>
      </c>
      <c r="I87" s="115">
        <v>254.7</v>
      </c>
      <c r="J87" s="115">
        <v>225.6</v>
      </c>
      <c r="K87" s="115">
        <v>65</v>
      </c>
      <c r="L87" s="72">
        <v>207.7</v>
      </c>
      <c r="M87" s="73">
        <f>SUM(I87:L87)</f>
        <v>753</v>
      </c>
      <c r="N87" s="72">
        <v>197.6</v>
      </c>
      <c r="O87" s="72">
        <v>200.8</v>
      </c>
      <c r="P87" s="72">
        <v>211.7</v>
      </c>
      <c r="Q87" s="115">
        <v>288</v>
      </c>
      <c r="R87" s="73">
        <f>SUM(N87:Q87)</f>
        <v>898.09999999999991</v>
      </c>
      <c r="S87" s="72">
        <v>334.9</v>
      </c>
      <c r="T87" s="72">
        <v>342.5</v>
      </c>
      <c r="U87" s="72">
        <v>412.6</v>
      </c>
      <c r="V87" s="72">
        <f t="shared" ref="V87" si="251">+V85*V86</f>
        <v>397.3179688375742</v>
      </c>
      <c r="W87" s="213">
        <f>SUM(S87:V87)</f>
        <v>1487.3179688375742</v>
      </c>
      <c r="X87" s="72">
        <f>+X85*X86</f>
        <v>426.77413689720004</v>
      </c>
      <c r="Y87" s="72">
        <f>+Y85*Y86</f>
        <v>437.81815462838335</v>
      </c>
      <c r="Z87" s="72">
        <f t="shared" ref="Z87:AA87" si="252">+Z85*Z86</f>
        <v>532.78209872893888</v>
      </c>
      <c r="AA87" s="72">
        <f t="shared" si="252"/>
        <v>518.71379441766612</v>
      </c>
      <c r="AB87" s="73">
        <f>SUM(X87:AA87)</f>
        <v>1916.0881846721884</v>
      </c>
      <c r="AC87" s="72">
        <f>+AC85*AC86</f>
        <v>488.85427369276886</v>
      </c>
      <c r="AD87" s="72">
        <f>+AD85*AD86</f>
        <v>500.92584118438754</v>
      </c>
      <c r="AE87" s="72">
        <f t="shared" ref="AE87:AF87" si="253">+AE85*AE86</f>
        <v>608.90393260419762</v>
      </c>
      <c r="AF87" s="72">
        <f t="shared" si="253"/>
        <v>592.19282501961652</v>
      </c>
      <c r="AG87" s="73">
        <f>SUM(AC87:AF87)</f>
        <v>2190.8768725009704</v>
      </c>
      <c r="AH87" s="72">
        <f>+AH85*AH86</f>
        <v>557.53896387519694</v>
      </c>
      <c r="AI87" s="72">
        <f>+AI85*AI86</f>
        <v>570.76311238223411</v>
      </c>
      <c r="AJ87" s="72">
        <f t="shared" ref="AJ87:AK87" si="254">+AJ85*AJ86</f>
        <v>693.16159695536521</v>
      </c>
      <c r="AK87" s="72">
        <f t="shared" si="254"/>
        <v>673.51683228337617</v>
      </c>
      <c r="AL87" s="73">
        <f>SUM(AH87:AK87)</f>
        <v>2494.9805054961726</v>
      </c>
      <c r="AM87" s="72">
        <f>+AM85*AM86</f>
        <v>628.84397128919147</v>
      </c>
      <c r="AN87" s="72">
        <f>+AN85*AN86</f>
        <v>633.90416285329741</v>
      </c>
      <c r="AO87" s="72">
        <f t="shared" ref="AO87:AP87" si="255">+AO85*AO86</f>
        <v>758.34433521726294</v>
      </c>
      <c r="AP87" s="72">
        <f t="shared" si="255"/>
        <v>726.08199956058729</v>
      </c>
      <c r="AQ87" s="73">
        <f>SUM(AM87:AP87)</f>
        <v>2747.1744689203388</v>
      </c>
      <c r="AR87" s="72">
        <f>+AR85*AR86</f>
        <v>660.17647676993749</v>
      </c>
      <c r="AS87" s="72">
        <f>+AS85*AS86</f>
        <v>665.42860962314933</v>
      </c>
      <c r="AT87" s="72">
        <f t="shared" ref="AT87:AU87" si="256">+AT85*AT86</f>
        <v>795.98595469216696</v>
      </c>
      <c r="AU87" s="72">
        <f t="shared" si="256"/>
        <v>762.05459456401752</v>
      </c>
      <c r="AV87" s="73">
        <f>SUM(AR87:AU87)</f>
        <v>2883.6456356492713</v>
      </c>
    </row>
    <row r="88" spans="1:48" s="8" customFormat="1" outlineLevel="1" x14ac:dyDescent="0.3">
      <c r="B88" s="445" t="s">
        <v>119</v>
      </c>
      <c r="C88" s="446"/>
      <c r="D88" s="103">
        <v>3.4</v>
      </c>
      <c r="E88" s="103">
        <v>4.9000000000000004</v>
      </c>
      <c r="F88" s="103">
        <v>3.8</v>
      </c>
      <c r="G88" s="103">
        <v>5.5</v>
      </c>
      <c r="H88" s="97">
        <f>SUM(D88:G88)</f>
        <v>17.600000000000001</v>
      </c>
      <c r="I88" s="103">
        <v>6.7</v>
      </c>
      <c r="J88" s="103">
        <v>6.6</v>
      </c>
      <c r="K88" s="103">
        <v>9.1</v>
      </c>
      <c r="L88" s="50">
        <v>5.3</v>
      </c>
      <c r="M88" s="97">
        <f>SUM(I88:L88)</f>
        <v>27.7</v>
      </c>
      <c r="N88" s="50">
        <v>15</v>
      </c>
      <c r="O88" s="50">
        <v>25.4</v>
      </c>
      <c r="P88" s="50">
        <v>13.4</v>
      </c>
      <c r="Q88" s="103">
        <v>16.600000000000001</v>
      </c>
      <c r="R88" s="97">
        <f>SUM(N88:Q88)</f>
        <v>70.400000000000006</v>
      </c>
      <c r="S88" s="50">
        <v>32.700000000000003</v>
      </c>
      <c r="T88" s="50">
        <v>19.5</v>
      </c>
      <c r="U88" s="50">
        <v>9.8000000000000007</v>
      </c>
      <c r="V88" s="50">
        <f t="shared" ref="V88" si="257">+Q88*(1+V89)</f>
        <v>12.118</v>
      </c>
      <c r="W88" s="132">
        <f>SUM(S88:V88)</f>
        <v>74.117999999999995</v>
      </c>
      <c r="X88" s="50">
        <f>+S88*(1+X89)</f>
        <v>26.160000000000004</v>
      </c>
      <c r="Y88" s="50">
        <f>+T88*(1+Y89)</f>
        <v>17.55</v>
      </c>
      <c r="Z88" s="50">
        <f>+U88*(1+Z89)</f>
        <v>10.290000000000001</v>
      </c>
      <c r="AA88" s="50">
        <f t="shared" ref="AA88" si="258">+V88*(1+AA89)</f>
        <v>12.7239</v>
      </c>
      <c r="AB88" s="97">
        <f>SUM(X88:AA88)</f>
        <v>66.723900000000015</v>
      </c>
      <c r="AC88" s="50">
        <f>+X88*(1+AC89)</f>
        <v>28.776000000000007</v>
      </c>
      <c r="AD88" s="50">
        <f>+Y88*(1+AD89)</f>
        <v>20.182500000000001</v>
      </c>
      <c r="AE88" s="50">
        <f>+Z88*(1+AE89)</f>
        <v>12.348000000000001</v>
      </c>
      <c r="AF88" s="50">
        <f t="shared" ref="AF88" si="259">+AA88*(1+AF89)</f>
        <v>15.26868</v>
      </c>
      <c r="AG88" s="97">
        <f>SUM(AC88:AF88)</f>
        <v>76.575180000000003</v>
      </c>
      <c r="AH88" s="50">
        <f>+AC88*(1+AH89)</f>
        <v>35.970000000000006</v>
      </c>
      <c r="AI88" s="50">
        <f>+AD88*(1+AI89)</f>
        <v>25.228125000000002</v>
      </c>
      <c r="AJ88" s="50">
        <f>+AE88*(1+AJ89)</f>
        <v>15.435</v>
      </c>
      <c r="AK88" s="50">
        <f t="shared" ref="AK88" si="260">+AF88*(1+AK89)</f>
        <v>19.085850000000001</v>
      </c>
      <c r="AL88" s="97">
        <f>SUM(AH88:AK88)</f>
        <v>95.718975</v>
      </c>
      <c r="AM88" s="50">
        <f>+AH88*(1+AM89)</f>
        <v>39.567000000000007</v>
      </c>
      <c r="AN88" s="50">
        <f>+AI88*(1+AN89)</f>
        <v>27.750937500000006</v>
      </c>
      <c r="AO88" s="50">
        <f>+AJ88*(1+AO89)</f>
        <v>16.9785</v>
      </c>
      <c r="AP88" s="50">
        <f t="shared" ref="AP88" si="261">+AK88*(1+AP89)</f>
        <v>20.994435000000003</v>
      </c>
      <c r="AQ88" s="97">
        <f>SUM(AM88:AP88)</f>
        <v>105.29087250000001</v>
      </c>
      <c r="AR88" s="50">
        <f>+AM88*(1+AR89)</f>
        <v>41.545350000000006</v>
      </c>
      <c r="AS88" s="50">
        <f>+AN88*(1+AS89)</f>
        <v>29.138484375000008</v>
      </c>
      <c r="AT88" s="50">
        <f>+AO88*(1+AT89)</f>
        <v>17.827425000000002</v>
      </c>
      <c r="AU88" s="50">
        <f t="shared" ref="AU88" si="262">+AP88*(1+AU89)</f>
        <v>22.044156750000003</v>
      </c>
      <c r="AV88" s="97">
        <f>SUM(AR88:AU88)</f>
        <v>110.55541612500002</v>
      </c>
    </row>
    <row r="89" spans="1:48" outlineLevel="1" x14ac:dyDescent="0.3">
      <c r="B89" s="69" t="s">
        <v>50</v>
      </c>
      <c r="C89" s="70"/>
      <c r="D89" s="120"/>
      <c r="E89" s="120"/>
      <c r="F89" s="120"/>
      <c r="G89" s="120"/>
      <c r="H89" s="58"/>
      <c r="I89" s="120">
        <f>I88/D88-1</f>
        <v>0.97058823529411775</v>
      </c>
      <c r="J89" s="120">
        <f t="shared" ref="J89:L89" si="263">J88/E88-1</f>
        <v>0.3469387755102038</v>
      </c>
      <c r="K89" s="120">
        <f t="shared" si="263"/>
        <v>1.3947368421052633</v>
      </c>
      <c r="L89" s="120">
        <f t="shared" si="263"/>
        <v>-3.6363636363636376E-2</v>
      </c>
      <c r="M89" s="58"/>
      <c r="N89" s="120">
        <f>N88/I88-1</f>
        <v>1.2388059701492535</v>
      </c>
      <c r="O89" s="120">
        <f t="shared" ref="O89:Q89" si="264">O88/J88-1</f>
        <v>2.8484848484848486</v>
      </c>
      <c r="P89" s="120">
        <f t="shared" si="264"/>
        <v>0.47252747252747263</v>
      </c>
      <c r="Q89" s="120">
        <f t="shared" si="264"/>
        <v>2.1320754716981134</v>
      </c>
      <c r="R89" s="58"/>
      <c r="S89" s="120">
        <f>S88/N88-1</f>
        <v>1.1800000000000002</v>
      </c>
      <c r="T89" s="120">
        <f t="shared" ref="T89:U89" si="265">T88/O88-1</f>
        <v>-0.23228346456692905</v>
      </c>
      <c r="U89" s="120">
        <f t="shared" si="265"/>
        <v>-0.26865671641791045</v>
      </c>
      <c r="V89" s="71">
        <v>-0.27</v>
      </c>
      <c r="W89" s="155"/>
      <c r="X89" s="71">
        <v>-0.2</v>
      </c>
      <c r="Y89" s="71">
        <v>-0.1</v>
      </c>
      <c r="Z89" s="71">
        <v>0.05</v>
      </c>
      <c r="AA89" s="71">
        <v>0.05</v>
      </c>
      <c r="AB89" s="58"/>
      <c r="AC89" s="71">
        <v>0.1</v>
      </c>
      <c r="AD89" s="71">
        <v>0.15</v>
      </c>
      <c r="AE89" s="71">
        <v>0.2</v>
      </c>
      <c r="AF89" s="71">
        <v>0.2</v>
      </c>
      <c r="AG89" s="58"/>
      <c r="AH89" s="71">
        <v>0.25</v>
      </c>
      <c r="AI89" s="71">
        <v>0.25</v>
      </c>
      <c r="AJ89" s="71">
        <v>0.25</v>
      </c>
      <c r="AK89" s="71">
        <v>0.25</v>
      </c>
      <c r="AL89" s="58"/>
      <c r="AM89" s="71">
        <v>0.1</v>
      </c>
      <c r="AN89" s="71">
        <v>0.1</v>
      </c>
      <c r="AO89" s="71">
        <v>0.1</v>
      </c>
      <c r="AP89" s="71">
        <v>0.1</v>
      </c>
      <c r="AQ89" s="58"/>
      <c r="AR89" s="71">
        <v>0.05</v>
      </c>
      <c r="AS89" s="71">
        <v>0.05</v>
      </c>
      <c r="AT89" s="71">
        <v>0.05</v>
      </c>
      <c r="AU89" s="71">
        <v>0.05</v>
      </c>
      <c r="AV89" s="58"/>
    </row>
    <row r="90" spans="1:48" outlineLevel="1" x14ac:dyDescent="0.3">
      <c r="B90" s="180" t="s">
        <v>120</v>
      </c>
      <c r="C90" s="207"/>
      <c r="D90" s="101">
        <f t="shared" ref="D90:G91" si="266">+D83+D74</f>
        <v>12212</v>
      </c>
      <c r="E90" s="101">
        <f t="shared" si="266"/>
        <v>12465</v>
      </c>
      <c r="F90" s="101">
        <f t="shared" si="266"/>
        <v>12773</v>
      </c>
      <c r="G90" s="101">
        <f t="shared" si="266"/>
        <v>13189</v>
      </c>
      <c r="H90" s="6"/>
      <c r="I90" s="101">
        <f t="shared" ref="I90:L91" si="267">+I83+I74</f>
        <v>13592</v>
      </c>
      <c r="J90" s="101">
        <f t="shared" si="267"/>
        <v>13779</v>
      </c>
      <c r="K90" s="101">
        <f t="shared" si="267"/>
        <v>13945</v>
      </c>
      <c r="L90" s="16">
        <f t="shared" si="267"/>
        <v>16263</v>
      </c>
      <c r="M90" s="6"/>
      <c r="N90" s="16">
        <f t="shared" ref="N90:Q91" si="268">+N83+N74</f>
        <v>14630</v>
      </c>
      <c r="O90" s="16">
        <f t="shared" si="268"/>
        <v>14823</v>
      </c>
      <c r="P90" s="16">
        <f t="shared" si="268"/>
        <v>15120</v>
      </c>
      <c r="Q90" s="16">
        <f t="shared" si="268"/>
        <v>17007</v>
      </c>
      <c r="R90" s="6"/>
      <c r="S90" s="16">
        <f t="shared" ref="S90:V91" si="269">+S83+S74</f>
        <v>17429</v>
      </c>
      <c r="T90" s="16">
        <f t="shared" si="269"/>
        <v>17704</v>
      </c>
      <c r="U90" s="16">
        <f t="shared" si="269"/>
        <v>17898</v>
      </c>
      <c r="V90" s="16">
        <f t="shared" si="269"/>
        <v>18298</v>
      </c>
      <c r="W90" s="254">
        <f>W91/Q90</f>
        <v>7.5909919444934443E-2</v>
      </c>
      <c r="X90" s="16">
        <f t="shared" ref="X90:AA91" si="270">+X83+X74</f>
        <v>18789</v>
      </c>
      <c r="Y90" s="16">
        <f t="shared" si="270"/>
        <v>19280</v>
      </c>
      <c r="Z90" s="16">
        <f t="shared" si="270"/>
        <v>19771</v>
      </c>
      <c r="AA90" s="16">
        <f t="shared" si="270"/>
        <v>20266</v>
      </c>
      <c r="AB90" s="254">
        <f>AB91/V90</f>
        <v>0.10755273800415346</v>
      </c>
      <c r="AC90" s="16">
        <f t="shared" ref="AC90:AF91" si="271">+AC83+AC74</f>
        <v>20774</v>
      </c>
      <c r="AD90" s="16">
        <f t="shared" si="271"/>
        <v>21282</v>
      </c>
      <c r="AE90" s="16">
        <f t="shared" si="271"/>
        <v>21790</v>
      </c>
      <c r="AF90" s="16">
        <f t="shared" si="271"/>
        <v>22304</v>
      </c>
      <c r="AG90" s="254">
        <f>AG91/AA90</f>
        <v>0.10056251850389815</v>
      </c>
      <c r="AH90" s="16">
        <f t="shared" ref="AH90:AK91" si="272">+AH83+AH74</f>
        <v>22831</v>
      </c>
      <c r="AI90" s="16">
        <f t="shared" si="272"/>
        <v>23358</v>
      </c>
      <c r="AJ90" s="16">
        <f t="shared" si="272"/>
        <v>23885</v>
      </c>
      <c r="AK90" s="16">
        <f t="shared" si="272"/>
        <v>24415</v>
      </c>
      <c r="AL90" s="254">
        <f>AL91/AF90</f>
        <v>9.4646700143472026E-2</v>
      </c>
      <c r="AM90" s="16">
        <f t="shared" ref="AM90:AP91" si="273">+AM83+AM74</f>
        <v>24609</v>
      </c>
      <c r="AN90" s="16">
        <f t="shared" si="273"/>
        <v>24803</v>
      </c>
      <c r="AO90" s="16">
        <f t="shared" si="273"/>
        <v>24997</v>
      </c>
      <c r="AP90" s="16">
        <f t="shared" si="273"/>
        <v>25191</v>
      </c>
      <c r="AQ90" s="254">
        <f>AQ91/AK90</f>
        <v>3.1783739504403032E-2</v>
      </c>
      <c r="AR90" s="16">
        <f t="shared" ref="AR90:AU91" si="274">+AR83+AR74</f>
        <v>25385</v>
      </c>
      <c r="AS90" s="16">
        <f t="shared" si="274"/>
        <v>25579</v>
      </c>
      <c r="AT90" s="16">
        <f t="shared" si="274"/>
        <v>25773</v>
      </c>
      <c r="AU90" s="16">
        <f t="shared" si="274"/>
        <v>25967</v>
      </c>
      <c r="AV90" s="254">
        <f>AV91/AP90</f>
        <v>3.080465245524195E-2</v>
      </c>
    </row>
    <row r="91" spans="1:48" outlineLevel="1" x14ac:dyDescent="0.3">
      <c r="B91" s="180" t="s">
        <v>121</v>
      </c>
      <c r="C91" s="207"/>
      <c r="D91" s="101">
        <f t="shared" si="266"/>
        <v>360</v>
      </c>
      <c r="E91" s="101">
        <f t="shared" si="266"/>
        <v>253</v>
      </c>
      <c r="F91" s="101">
        <f t="shared" si="266"/>
        <v>308</v>
      </c>
      <c r="G91" s="101">
        <f t="shared" si="266"/>
        <v>416</v>
      </c>
      <c r="H91" s="122">
        <f>+H84+H75</f>
        <v>1337</v>
      </c>
      <c r="I91" s="101">
        <f t="shared" si="267"/>
        <v>403</v>
      </c>
      <c r="J91" s="101">
        <f t="shared" si="267"/>
        <v>187</v>
      </c>
      <c r="K91" s="101">
        <f t="shared" si="267"/>
        <v>166</v>
      </c>
      <c r="L91" s="101">
        <f t="shared" si="267"/>
        <v>356</v>
      </c>
      <c r="M91" s="122">
        <f>+M84+M75</f>
        <v>1112</v>
      </c>
      <c r="N91" s="101">
        <f t="shared" si="268"/>
        <v>324</v>
      </c>
      <c r="O91" s="101">
        <f t="shared" si="268"/>
        <v>193</v>
      </c>
      <c r="P91" s="101">
        <f t="shared" si="268"/>
        <v>297</v>
      </c>
      <c r="Q91" s="101">
        <f t="shared" si="268"/>
        <v>464</v>
      </c>
      <c r="R91" s="122">
        <f>+R84+R75</f>
        <v>1278</v>
      </c>
      <c r="S91" s="16">
        <f t="shared" si="269"/>
        <v>422</v>
      </c>
      <c r="T91" s="16">
        <f t="shared" si="269"/>
        <v>275</v>
      </c>
      <c r="U91" s="16">
        <f t="shared" si="269"/>
        <v>194</v>
      </c>
      <c r="V91" s="16">
        <f t="shared" si="269"/>
        <v>400</v>
      </c>
      <c r="W91" s="122">
        <f>+W84+W75</f>
        <v>1291</v>
      </c>
      <c r="X91" s="16">
        <f t="shared" si="270"/>
        <v>491</v>
      </c>
      <c r="Y91" s="16">
        <f t="shared" si="270"/>
        <v>491</v>
      </c>
      <c r="Z91" s="16">
        <f t="shared" si="270"/>
        <v>491</v>
      </c>
      <c r="AA91" s="16">
        <f t="shared" si="270"/>
        <v>495</v>
      </c>
      <c r="AB91" s="26">
        <f>+AB84+AB75</f>
        <v>1968</v>
      </c>
      <c r="AC91" s="16">
        <f t="shared" si="271"/>
        <v>508</v>
      </c>
      <c r="AD91" s="16">
        <f t="shared" si="271"/>
        <v>508</v>
      </c>
      <c r="AE91" s="16">
        <f t="shared" si="271"/>
        <v>508</v>
      </c>
      <c r="AF91" s="16">
        <f t="shared" si="271"/>
        <v>514</v>
      </c>
      <c r="AG91" s="26">
        <f>+AG84+AG75</f>
        <v>2038</v>
      </c>
      <c r="AH91" s="16">
        <f t="shared" si="272"/>
        <v>527</v>
      </c>
      <c r="AI91" s="16">
        <f t="shared" si="272"/>
        <v>527</v>
      </c>
      <c r="AJ91" s="16">
        <f t="shared" si="272"/>
        <v>527</v>
      </c>
      <c r="AK91" s="16">
        <f t="shared" si="272"/>
        <v>530</v>
      </c>
      <c r="AL91" s="26">
        <f>+AL84+AL75</f>
        <v>2111</v>
      </c>
      <c r="AM91" s="16">
        <f t="shared" si="273"/>
        <v>194</v>
      </c>
      <c r="AN91" s="16">
        <f t="shared" si="273"/>
        <v>194</v>
      </c>
      <c r="AO91" s="16">
        <f t="shared" si="273"/>
        <v>194</v>
      </c>
      <c r="AP91" s="16">
        <f t="shared" si="273"/>
        <v>194</v>
      </c>
      <c r="AQ91" s="26">
        <f>+AQ84+AQ75</f>
        <v>776</v>
      </c>
      <c r="AR91" s="16">
        <f t="shared" si="274"/>
        <v>194</v>
      </c>
      <c r="AS91" s="16">
        <f t="shared" si="274"/>
        <v>194</v>
      </c>
      <c r="AT91" s="16">
        <f t="shared" si="274"/>
        <v>194</v>
      </c>
      <c r="AU91" s="16">
        <f t="shared" si="274"/>
        <v>194</v>
      </c>
      <c r="AV91" s="26">
        <f>+AV84+AV75</f>
        <v>776</v>
      </c>
    </row>
    <row r="92" spans="1:48" outlineLevel="1" x14ac:dyDescent="0.3">
      <c r="B92" s="449" t="s">
        <v>122</v>
      </c>
      <c r="C92" s="450"/>
      <c r="D92" s="115">
        <f>+D88+D87+D78</f>
        <v>1504</v>
      </c>
      <c r="E92" s="115">
        <f>+E88+E87+E78</f>
        <v>1529.4</v>
      </c>
      <c r="F92" s="115">
        <f>+F88+F87+F78</f>
        <v>1585.3</v>
      </c>
      <c r="G92" s="115">
        <f>+G88+G87+G78</f>
        <v>1572.1000000000001</v>
      </c>
      <c r="H92" s="213">
        <f>SUM(D92:G92)</f>
        <v>6190.8</v>
      </c>
      <c r="I92" s="115">
        <f>+I88+I87+I78</f>
        <v>1571.1</v>
      </c>
      <c r="J92" s="115">
        <f>+J88+J87+J78</f>
        <v>1134.5999999999999</v>
      </c>
      <c r="K92" s="115">
        <f>+K88+K87+K78</f>
        <v>949.6</v>
      </c>
      <c r="L92" s="115">
        <f>+L88+L87+L78</f>
        <v>1511.3</v>
      </c>
      <c r="M92" s="213">
        <f>SUM(I92:L92)</f>
        <v>5166.5999999999995</v>
      </c>
      <c r="N92" s="115">
        <f>+N88+N87+N78</f>
        <v>1654.3</v>
      </c>
      <c r="O92" s="115">
        <f>+O88+O87+O78</f>
        <v>1610.9</v>
      </c>
      <c r="P92" s="115">
        <f>+P88+P87+P78</f>
        <v>1658.3999999999999</v>
      </c>
      <c r="Q92" s="115">
        <f>+Q88+Q87+Q78</f>
        <v>1914.6</v>
      </c>
      <c r="R92" s="73">
        <f>SUM(N92:Q92)</f>
        <v>6838.1999999999989</v>
      </c>
      <c r="S92" s="72">
        <f>+S88+S87+S78</f>
        <v>1875.8999999999999</v>
      </c>
      <c r="T92" s="72">
        <f>+T88+T87+T78</f>
        <v>1702.4</v>
      </c>
      <c r="U92" s="72">
        <f>+U88+U87+U78</f>
        <v>1584.7</v>
      </c>
      <c r="V92" s="72">
        <f>+V88+V87+V78</f>
        <v>1823.5761158449245</v>
      </c>
      <c r="W92" s="213">
        <f>SUM(S92:V92)</f>
        <v>6986.5761158449241</v>
      </c>
      <c r="X92" s="72">
        <f>+X88+X87+X78</f>
        <v>1859.3980790941234</v>
      </c>
      <c r="Y92" s="72">
        <f>+Y88+Y87+Y78</f>
        <v>1866.2076331315682</v>
      </c>
      <c r="Z92" s="72">
        <f>+Z88+Z87+Z78</f>
        <v>2111.4480030676737</v>
      </c>
      <c r="AA92" s="72">
        <f>+AA88+AA87+AA78</f>
        <v>2448.803994732682</v>
      </c>
      <c r="AB92" s="73">
        <f>SUM(X92:AA92)</f>
        <v>8285.8577100260463</v>
      </c>
      <c r="AC92" s="72">
        <f>+AC88+AC87+AC78</f>
        <v>2419.4190364494266</v>
      </c>
      <c r="AD92" s="72">
        <f>+AD88+AD87+AD78</f>
        <v>2186.2098360092286</v>
      </c>
      <c r="AE92" s="72">
        <f>+AE88+AE87+AE78</f>
        <v>2467.9509919350912</v>
      </c>
      <c r="AF92" s="72">
        <f>+AF88+AF87+AF78</f>
        <v>2860.2938746380978</v>
      </c>
      <c r="AG92" s="73">
        <f>SUM(AC92:AF92)</f>
        <v>9933.8737390318456</v>
      </c>
      <c r="AH92" s="72">
        <f>+AH88+AH87+AH78</f>
        <v>2823.5496780854023</v>
      </c>
      <c r="AI92" s="72">
        <f>+AI88+AI87+AI78</f>
        <v>2544.6124113472024</v>
      </c>
      <c r="AJ92" s="72">
        <f>+AJ88+AJ87+AJ78</f>
        <v>2865.6689451780521</v>
      </c>
      <c r="AK92" s="72">
        <f>+AK88+AK87+AK78</f>
        <v>3319.0780362910773</v>
      </c>
      <c r="AL92" s="73">
        <f>SUM(AH92:AK92)</f>
        <v>11552.909070901733</v>
      </c>
      <c r="AM92" s="72">
        <f>+AM88+AM87+AM78</f>
        <v>3245.8090973554649</v>
      </c>
      <c r="AN92" s="72">
        <f>+AN88+AN87+AN78</f>
        <v>2880.2329610479633</v>
      </c>
      <c r="AO92" s="72">
        <f>+AO88+AO87+AO78</f>
        <v>3195.9703736699548</v>
      </c>
      <c r="AP92" s="72">
        <f>+AP88+AP87+AP78</f>
        <v>3653.4244598178502</v>
      </c>
      <c r="AQ92" s="73">
        <f>SUM(AM92:AP92)</f>
        <v>12975.436891891233</v>
      </c>
      <c r="AR92" s="72">
        <f>+AR88+AR87+AR78</f>
        <v>3479.5648395651397</v>
      </c>
      <c r="AS92" s="72">
        <f>+AS88+AS87+AS78</f>
        <v>3084.4695539758368</v>
      </c>
      <c r="AT92" s="72">
        <f>+AT88+AT87+AT78</f>
        <v>3420.0945372547908</v>
      </c>
      <c r="AU92" s="72">
        <f>+AU88+AU87+AU78</f>
        <v>3911.8071882243435</v>
      </c>
      <c r="AV92" s="73">
        <f>SUM(AR92:AU92)</f>
        <v>13895.936119020111</v>
      </c>
    </row>
    <row r="93" spans="1:48" outlineLevel="1" x14ac:dyDescent="0.3">
      <c r="B93" s="443" t="s">
        <v>100</v>
      </c>
      <c r="C93" s="444"/>
      <c r="D93" s="105">
        <v>462.7</v>
      </c>
      <c r="E93" s="105">
        <v>470.2</v>
      </c>
      <c r="F93" s="105">
        <v>476.1</v>
      </c>
      <c r="G93" s="105">
        <v>486.1</v>
      </c>
      <c r="H93" s="129">
        <f>SUM(D93:G93)</f>
        <v>1895.1</v>
      </c>
      <c r="I93" s="105">
        <v>488.5</v>
      </c>
      <c r="J93" s="105">
        <v>387.7</v>
      </c>
      <c r="K93" s="105">
        <v>337.7</v>
      </c>
      <c r="L93" s="105">
        <v>479.2</v>
      </c>
      <c r="M93" s="129">
        <f>SUM(I93:L93)</f>
        <v>1693.1000000000001</v>
      </c>
      <c r="N93" s="105">
        <v>520.4</v>
      </c>
      <c r="O93" s="105">
        <v>513.5</v>
      </c>
      <c r="P93" s="105">
        <v>501.7</v>
      </c>
      <c r="Q93" s="105">
        <v>605.1</v>
      </c>
      <c r="R93" s="76">
        <f>SUM(N93:Q93)</f>
        <v>2140.7000000000003</v>
      </c>
      <c r="S93" s="48">
        <v>615.79999999999995</v>
      </c>
      <c r="T93" s="48">
        <v>580.5</v>
      </c>
      <c r="U93" s="48">
        <v>550.29999999999995</v>
      </c>
      <c r="V93" s="48">
        <f t="shared" ref="V93" si="275">V94*V92</f>
        <v>631.03962845485455</v>
      </c>
      <c r="W93" s="76">
        <f>SUM(S93:V93)</f>
        <v>2377.6396284548546</v>
      </c>
      <c r="X93" s="48">
        <f>X94*X92</f>
        <v>647.57089089909618</v>
      </c>
      <c r="Y93" s="48">
        <f>Y94*Y92</f>
        <v>617.69455608931128</v>
      </c>
      <c r="Z93" s="48">
        <f t="shared" ref="Z93:AA93" si="276">Z94*Z92</f>
        <v>722.66030026871579</v>
      </c>
      <c r="AA93" s="48">
        <f t="shared" si="276"/>
        <v>835.15266918449061</v>
      </c>
      <c r="AB93" s="76">
        <f>SUM(X93:AA93)</f>
        <v>2823.0784164416136</v>
      </c>
      <c r="AC93" s="48">
        <f>AC94*AC92</f>
        <v>794.22050356925035</v>
      </c>
      <c r="AD93" s="48">
        <f>AD94*AD92</f>
        <v>679.88762985120638</v>
      </c>
      <c r="AE93" s="48">
        <f t="shared" ref="AE93:AF93" si="277">AE94*AE92</f>
        <v>844.6763558889902</v>
      </c>
      <c r="AF93" s="48">
        <f t="shared" si="277"/>
        <v>975.4892875029069</v>
      </c>
      <c r="AG93" s="76">
        <f>SUM(AC93:AF93)</f>
        <v>3294.2737768123538</v>
      </c>
      <c r="AH93" s="48">
        <f>AH94*AH92</f>
        <v>921.23700521496335</v>
      </c>
      <c r="AI93" s="48">
        <f>AI94*AI92</f>
        <v>786.25773224657632</v>
      </c>
      <c r="AJ93" s="48">
        <f t="shared" ref="AJ93:AK93" si="278">AJ94*AJ92</f>
        <v>952.14187976912149</v>
      </c>
      <c r="AK93" s="48">
        <f t="shared" si="278"/>
        <v>1125.3172340699036</v>
      </c>
      <c r="AL93" s="76">
        <f>SUM(AH93:AK93)</f>
        <v>3784.9538513005646</v>
      </c>
      <c r="AM93" s="48">
        <f>AM94*AM92</f>
        <v>1059.0072048510247</v>
      </c>
      <c r="AN93" s="48">
        <f>AN94*AN92</f>
        <v>889.96085462636563</v>
      </c>
      <c r="AO93" s="48">
        <f t="shared" ref="AO93:AP93" si="279">AO94*AO92</f>
        <v>1061.887223362942</v>
      </c>
      <c r="AP93" s="48">
        <f t="shared" si="279"/>
        <v>1238.6757596696061</v>
      </c>
      <c r="AQ93" s="76">
        <f>SUM(AM93:AP93)</f>
        <v>4249.5310425099387</v>
      </c>
      <c r="AR93" s="48">
        <f>AR94*AR92</f>
        <v>1135.2744798971867</v>
      </c>
      <c r="AS93" s="48">
        <f>AS94*AS92</f>
        <v>953.06775439670002</v>
      </c>
      <c r="AT93" s="48">
        <f t="shared" ref="AT93:AU93" si="280">AT94*AT92</f>
        <v>1136.354304697101</v>
      </c>
      <c r="AU93" s="48">
        <f t="shared" si="280"/>
        <v>1326.2791646159824</v>
      </c>
      <c r="AV93" s="76">
        <f>SUM(AR93:AU93)</f>
        <v>4550.9757036069695</v>
      </c>
    </row>
    <row r="94" spans="1:48" s="183" customFormat="1" outlineLevel="1" x14ac:dyDescent="0.3">
      <c r="A94" s="238"/>
      <c r="B94" s="181" t="s">
        <v>151</v>
      </c>
      <c r="C94" s="182"/>
      <c r="D94" s="167">
        <f>D93/D92</f>
        <v>0.30764627659574467</v>
      </c>
      <c r="E94" s="167">
        <f t="shared" ref="E94:U94" si="281">E93/E92</f>
        <v>0.30744082646789589</v>
      </c>
      <c r="F94" s="167">
        <f t="shared" si="281"/>
        <v>0.30032170567085098</v>
      </c>
      <c r="G94" s="167">
        <f t="shared" si="281"/>
        <v>0.30920424909356908</v>
      </c>
      <c r="H94" s="186">
        <f>H93/H92</f>
        <v>0.30611552626477995</v>
      </c>
      <c r="I94" s="167">
        <f t="shared" si="281"/>
        <v>0.31092864871745912</v>
      </c>
      <c r="J94" s="167">
        <f t="shared" si="281"/>
        <v>0.34170632822139962</v>
      </c>
      <c r="K94" s="167">
        <f t="shared" si="281"/>
        <v>0.35562342038753159</v>
      </c>
      <c r="L94" s="167">
        <f t="shared" si="281"/>
        <v>0.31707801230728511</v>
      </c>
      <c r="M94" s="186">
        <f>M93/M92</f>
        <v>0.32770100259358192</v>
      </c>
      <c r="N94" s="167">
        <f t="shared" si="281"/>
        <v>0.31457414011968809</v>
      </c>
      <c r="O94" s="167">
        <f t="shared" si="281"/>
        <v>0.31876590725681292</v>
      </c>
      <c r="P94" s="167">
        <f t="shared" si="281"/>
        <v>0.30252050168837435</v>
      </c>
      <c r="Q94" s="167">
        <f t="shared" si="281"/>
        <v>0.31604512691946102</v>
      </c>
      <c r="R94" s="188">
        <f>R93/R92</f>
        <v>0.31305021789359783</v>
      </c>
      <c r="S94" s="167">
        <f t="shared" si="281"/>
        <v>0.32826909749986671</v>
      </c>
      <c r="T94" s="167">
        <f t="shared" si="281"/>
        <v>0.34098919172932329</v>
      </c>
      <c r="U94" s="167">
        <f t="shared" si="281"/>
        <v>0.34725815611787714</v>
      </c>
      <c r="V94" s="189">
        <f>Q94+3%</f>
        <v>0.34604512691946099</v>
      </c>
      <c r="W94" s="188">
        <f>W93/W92</f>
        <v>0.34031542618745431</v>
      </c>
      <c r="X94" s="189">
        <f>S94+2%</f>
        <v>0.34826909749986673</v>
      </c>
      <c r="Y94" s="189">
        <f>T94-1%</f>
        <v>0.33098919172932328</v>
      </c>
      <c r="Z94" s="189">
        <f>U94-0.5%</f>
        <v>0.34225815611787713</v>
      </c>
      <c r="AA94" s="189">
        <f>V94-0.5%</f>
        <v>0.34104512691946098</v>
      </c>
      <c r="AB94" s="188">
        <f>AB93/AB92</f>
        <v>0.34071046296458057</v>
      </c>
      <c r="AC94" s="189">
        <f>X94-2%</f>
        <v>0.32826909749986671</v>
      </c>
      <c r="AD94" s="189">
        <f>Y94-2%</f>
        <v>0.31098919172932327</v>
      </c>
      <c r="AE94" s="189">
        <f t="shared" ref="AE94:AF94" si="282">Z94</f>
        <v>0.34225815611787713</v>
      </c>
      <c r="AF94" s="189">
        <f t="shared" si="282"/>
        <v>0.34104512691946098</v>
      </c>
      <c r="AG94" s="188">
        <f>AG93/AG92</f>
        <v>0.33162025845653775</v>
      </c>
      <c r="AH94" s="189">
        <f>AC94-0.2%</f>
        <v>0.32626909749986671</v>
      </c>
      <c r="AI94" s="189">
        <f>AD94-0.2%</f>
        <v>0.30898919172932326</v>
      </c>
      <c r="AJ94" s="189">
        <f>AE94-1%</f>
        <v>0.33225815611787712</v>
      </c>
      <c r="AK94" s="189">
        <f>AF94-0.2%</f>
        <v>0.33904512691946098</v>
      </c>
      <c r="AL94" s="188">
        <f>AL93/AL92</f>
        <v>0.32761911550344608</v>
      </c>
      <c r="AM94" s="189">
        <f>AH94</f>
        <v>0.32626909749986671</v>
      </c>
      <c r="AN94" s="189">
        <f t="shared" ref="AN94:AP94" si="283">AI94</f>
        <v>0.30898919172932326</v>
      </c>
      <c r="AO94" s="189">
        <f t="shared" si="283"/>
        <v>0.33225815611787712</v>
      </c>
      <c r="AP94" s="189">
        <f t="shared" si="283"/>
        <v>0.33904512691946098</v>
      </c>
      <c r="AQ94" s="188">
        <f>AQ93/AQ92</f>
        <v>0.32750581563581932</v>
      </c>
      <c r="AR94" s="189">
        <f>AM94</f>
        <v>0.32626909749986671</v>
      </c>
      <c r="AS94" s="189">
        <f t="shared" ref="AS94:AU94" si="284">AN94</f>
        <v>0.30898919172932326</v>
      </c>
      <c r="AT94" s="189">
        <f t="shared" si="284"/>
        <v>0.33225815611787712</v>
      </c>
      <c r="AU94" s="189">
        <f t="shared" si="284"/>
        <v>0.33904512691946098</v>
      </c>
      <c r="AV94" s="188">
        <f>AV93/AV92</f>
        <v>0.32750407490559819</v>
      </c>
    </row>
    <row r="95" spans="1:48" outlineLevel="1" x14ac:dyDescent="0.3">
      <c r="B95" s="180" t="s">
        <v>32</v>
      </c>
      <c r="C95" s="18"/>
      <c r="D95" s="105">
        <v>603.70000000000005</v>
      </c>
      <c r="E95" s="105">
        <v>618.4</v>
      </c>
      <c r="F95" s="105">
        <v>609.20000000000005</v>
      </c>
      <c r="G95" s="105">
        <v>597.29999999999995</v>
      </c>
      <c r="H95" s="170">
        <f>SUM(D95:G95)</f>
        <v>2428.6</v>
      </c>
      <c r="I95" s="105">
        <v>607.1</v>
      </c>
      <c r="J95" s="105">
        <v>562.79999999999995</v>
      </c>
      <c r="K95" s="105">
        <v>483.4</v>
      </c>
      <c r="L95" s="105">
        <v>622.70000000000005</v>
      </c>
      <c r="M95" s="170">
        <f>SUM(I95:L95)</f>
        <v>2276</v>
      </c>
      <c r="N95" s="105">
        <v>628.5</v>
      </c>
      <c r="O95" s="105">
        <v>620.20000000000005</v>
      </c>
      <c r="P95" s="105">
        <v>620.1</v>
      </c>
      <c r="Q95" s="105">
        <v>702.6</v>
      </c>
      <c r="R95" s="49">
        <f>SUM(N95:Q95)</f>
        <v>2571.4</v>
      </c>
      <c r="S95" s="48">
        <v>697.6</v>
      </c>
      <c r="T95" s="48">
        <v>689.3</v>
      </c>
      <c r="U95" s="48">
        <v>632.5</v>
      </c>
      <c r="V95" s="48">
        <f>V96*V78</f>
        <v>687.83425411270559</v>
      </c>
      <c r="W95" s="49">
        <f>SUM(S95:V95)</f>
        <v>2707.2342541127055</v>
      </c>
      <c r="X95" s="48">
        <f>X96*X78</f>
        <v>678.62934254252229</v>
      </c>
      <c r="Y95" s="48">
        <f>Y96*Y78</f>
        <v>711.4150702494693</v>
      </c>
      <c r="Z95" s="48">
        <f>Z96*Z78</f>
        <v>845.63636146105591</v>
      </c>
      <c r="AA95" s="48">
        <f>AA96*AA78</f>
        <v>923.01537332866644</v>
      </c>
      <c r="AB95" s="49">
        <f>SUM(X95:AA95)</f>
        <v>3158.6961475817138</v>
      </c>
      <c r="AC95" s="48">
        <f>AC96*AC78</f>
        <v>917.62726295588539</v>
      </c>
      <c r="AD95" s="48">
        <f>AD96*AD78</f>
        <v>806.32452929936312</v>
      </c>
      <c r="AE95" s="48">
        <f>AE96*AE78</f>
        <v>995.70254103371667</v>
      </c>
      <c r="AF95" s="48">
        <f>AF96*AF78</f>
        <v>1084.5079056352818</v>
      </c>
      <c r="AG95" s="49">
        <f>SUM(AC95:AF95)</f>
        <v>3804.1622389242466</v>
      </c>
      <c r="AH95" s="48">
        <f>AH96*AH78</f>
        <v>1071.5511964459445</v>
      </c>
      <c r="AI95" s="48">
        <f>AI96*AI78</f>
        <v>939.72154351194274</v>
      </c>
      <c r="AJ95" s="48">
        <f>AJ96*AJ78</f>
        <v>1119.9080534219811</v>
      </c>
      <c r="AK95" s="48">
        <f>AK96*AK78</f>
        <v>1259.1257593066855</v>
      </c>
      <c r="AL95" s="49">
        <f>SUM(AH95:AK95)</f>
        <v>4390.3065526865539</v>
      </c>
      <c r="AM95" s="48">
        <f>AM96*AM78</f>
        <v>1238.4590236873676</v>
      </c>
      <c r="AN95" s="48">
        <f>AN96*AN78</f>
        <v>1069.9080147072732</v>
      </c>
      <c r="AO95" s="48">
        <f>AO96*AO78</f>
        <v>1256.7509268026661</v>
      </c>
      <c r="AP95" s="48">
        <f>AP96*AP78</f>
        <v>1393.2960225678964</v>
      </c>
      <c r="AQ95" s="49">
        <f>SUM(AM95:AP95)</f>
        <v>4958.4139877652033</v>
      </c>
      <c r="AR95" s="48">
        <f>AR96*AR78</f>
        <v>1334.7742868245809</v>
      </c>
      <c r="AS95" s="48">
        <f>AS96*AS78</f>
        <v>1152.5292132402931</v>
      </c>
      <c r="AT95" s="48">
        <f>AT96*AT78</f>
        <v>1353.1281230512636</v>
      </c>
      <c r="AU95" s="48">
        <f>AU96*AU78</f>
        <v>1499.4156539506191</v>
      </c>
      <c r="AV95" s="49">
        <f>SUM(AR95:AU95)</f>
        <v>5339.8472770667568</v>
      </c>
    </row>
    <row r="96" spans="1:48" s="184" customFormat="1" outlineLevel="1" x14ac:dyDescent="0.3">
      <c r="B96" s="181" t="s">
        <v>150</v>
      </c>
      <c r="C96" s="190"/>
      <c r="D96" s="167">
        <f t="shared" ref="D96:U96" si="285">D95/D78</f>
        <v>0.47234175729598632</v>
      </c>
      <c r="E96" s="167">
        <f t="shared" si="285"/>
        <v>0.4722773789521918</v>
      </c>
      <c r="F96" s="167">
        <f t="shared" si="285"/>
        <v>0.45032525133057366</v>
      </c>
      <c r="G96" s="167">
        <f t="shared" si="285"/>
        <v>0.45390987157078799</v>
      </c>
      <c r="H96" s="186">
        <f t="shared" si="285"/>
        <v>0.46204482325634483</v>
      </c>
      <c r="I96" s="167">
        <f t="shared" si="285"/>
        <v>0.46354126899289916</v>
      </c>
      <c r="J96" s="167">
        <f t="shared" si="285"/>
        <v>0.62367021276595747</v>
      </c>
      <c r="K96" s="167">
        <f t="shared" si="285"/>
        <v>0.5521416333523701</v>
      </c>
      <c r="L96" s="167">
        <f t="shared" si="285"/>
        <v>0.47962720480628518</v>
      </c>
      <c r="M96" s="186">
        <f t="shared" si="285"/>
        <v>0.51893568024806769</v>
      </c>
      <c r="N96" s="167">
        <f t="shared" si="285"/>
        <v>0.43594367760282998</v>
      </c>
      <c r="O96" s="167">
        <f t="shared" si="285"/>
        <v>0.44789485087022463</v>
      </c>
      <c r="P96" s="167">
        <f t="shared" si="285"/>
        <v>0.4326379683248448</v>
      </c>
      <c r="Q96" s="167">
        <f t="shared" si="285"/>
        <v>0.43639751552795031</v>
      </c>
      <c r="R96" s="188">
        <f t="shared" si="285"/>
        <v>0.43808031074841985</v>
      </c>
      <c r="S96" s="167">
        <f t="shared" si="285"/>
        <v>0.46250745872836974</v>
      </c>
      <c r="T96" s="167">
        <f t="shared" si="285"/>
        <v>0.51424947776783048</v>
      </c>
      <c r="U96" s="167">
        <f t="shared" si="285"/>
        <v>0.54417964380968775</v>
      </c>
      <c r="V96" s="189">
        <f>Q96+5%</f>
        <v>0.4863975155279503</v>
      </c>
      <c r="W96" s="188">
        <f>W95/W78</f>
        <v>0.49901646423016127</v>
      </c>
      <c r="X96" s="189">
        <f>S96+2%</f>
        <v>0.48250745872836975</v>
      </c>
      <c r="Y96" s="189">
        <f>T96-1%</f>
        <v>0.50424947776783047</v>
      </c>
      <c r="Z96" s="189">
        <f>U96-0.5%</f>
        <v>0.53917964380968775</v>
      </c>
      <c r="AA96" s="189">
        <f>V96-0.5%</f>
        <v>0.48139751552795029</v>
      </c>
      <c r="AB96" s="188">
        <f>AB95/AB78</f>
        <v>0.50113807440579672</v>
      </c>
      <c r="AC96" s="189">
        <f>X96</f>
        <v>0.48250745872836975</v>
      </c>
      <c r="AD96" s="189">
        <f>Y96-2%</f>
        <v>0.48424947776783045</v>
      </c>
      <c r="AE96" s="189">
        <f t="shared" ref="AE96:AF96" si="286">Z96</f>
        <v>0.53917964380968775</v>
      </c>
      <c r="AF96" s="189">
        <f t="shared" si="286"/>
        <v>0.48139751552795029</v>
      </c>
      <c r="AG96" s="188">
        <f>AG95/AG78</f>
        <v>0.49621093053200743</v>
      </c>
      <c r="AH96" s="189">
        <f>AC96-0.2%</f>
        <v>0.48050745872836975</v>
      </c>
      <c r="AI96" s="189">
        <f>AD96-0.2%</f>
        <v>0.48224947776783045</v>
      </c>
      <c r="AJ96" s="189">
        <f>AE96-2%</f>
        <v>0.51917964380968773</v>
      </c>
      <c r="AK96" s="189">
        <f>AF96-0.2%</f>
        <v>0.47939751552795029</v>
      </c>
      <c r="AL96" s="188">
        <f>AL95/AL78</f>
        <v>0.48986876600013574</v>
      </c>
      <c r="AM96" s="189">
        <f>AH96</f>
        <v>0.48050745872836975</v>
      </c>
      <c r="AN96" s="189">
        <f t="shared" ref="AN96:AP96" si="287">AI96</f>
        <v>0.48224947776783045</v>
      </c>
      <c r="AO96" s="189">
        <f t="shared" si="287"/>
        <v>0.51917964380968773</v>
      </c>
      <c r="AP96" s="189">
        <f t="shared" si="287"/>
        <v>0.47939751552795029</v>
      </c>
      <c r="AQ96" s="188">
        <f>AQ95/AQ78</f>
        <v>0.48981803051047301</v>
      </c>
      <c r="AR96" s="189">
        <f>AM96</f>
        <v>0.48050745872836975</v>
      </c>
      <c r="AS96" s="189">
        <f t="shared" ref="AS96:AU96" si="288">AN96</f>
        <v>0.48224947776783045</v>
      </c>
      <c r="AT96" s="189">
        <f t="shared" si="288"/>
        <v>0.51917964380968773</v>
      </c>
      <c r="AU96" s="189">
        <f t="shared" si="288"/>
        <v>0.47939751552795029</v>
      </c>
      <c r="AV96" s="188">
        <f>AV95/AV78</f>
        <v>0.48981627641184178</v>
      </c>
    </row>
    <row r="97" spans="1:48" outlineLevel="1" x14ac:dyDescent="0.3">
      <c r="B97" s="180" t="s">
        <v>33</v>
      </c>
      <c r="C97" s="18"/>
      <c r="D97" s="105">
        <v>31.3</v>
      </c>
      <c r="E97" s="105">
        <v>26.3</v>
      </c>
      <c r="F97" s="105">
        <v>26.7</v>
      </c>
      <c r="G97" s="105">
        <v>31.9</v>
      </c>
      <c r="H97" s="170">
        <f>SUM(D97:G97)</f>
        <v>116.19999999999999</v>
      </c>
      <c r="I97" s="105">
        <v>35.9</v>
      </c>
      <c r="J97" s="105">
        <v>31.8</v>
      </c>
      <c r="K97" s="105">
        <v>37.5</v>
      </c>
      <c r="L97" s="105">
        <v>39.9</v>
      </c>
      <c r="M97" s="170">
        <f>SUM(I97:L97)</f>
        <v>145.1</v>
      </c>
      <c r="N97" s="105">
        <v>34.299999999999997</v>
      </c>
      <c r="O97" s="105">
        <v>29.3</v>
      </c>
      <c r="P97" s="105">
        <v>38.299999999999997</v>
      </c>
      <c r="Q97" s="105">
        <v>39.799999999999997</v>
      </c>
      <c r="R97" s="49">
        <f>SUM(N97:Q97)</f>
        <v>141.69999999999999</v>
      </c>
      <c r="S97" s="48">
        <v>39.200000000000003</v>
      </c>
      <c r="T97" s="48">
        <v>39.5</v>
      </c>
      <c r="U97" s="48">
        <v>60.2</v>
      </c>
      <c r="V97" s="48">
        <f t="shared" ref="V97" si="289">V98*V92</f>
        <v>37.907829003775198</v>
      </c>
      <c r="W97" s="49">
        <f>SUM(S97:V97)</f>
        <v>176.8078290037752</v>
      </c>
      <c r="X97" s="48">
        <f>X98*X92</f>
        <v>38.855165360887916</v>
      </c>
      <c r="Y97" s="48">
        <f>Y98*Y92</f>
        <v>43.300752765916904</v>
      </c>
      <c r="Z97" s="48">
        <f t="shared" ref="Z97:AA97" si="290">Z98*Z92</f>
        <v>69.653001534907077</v>
      </c>
      <c r="AA97" s="48">
        <f t="shared" si="290"/>
        <v>50.904835992040496</v>
      </c>
      <c r="AB97" s="49">
        <f>SUM(X97:AA97)</f>
        <v>202.7137556537524</v>
      </c>
      <c r="AC97" s="48">
        <f>AC98*AC92</f>
        <v>50.557719616620041</v>
      </c>
      <c r="AD97" s="48">
        <f>AD98*AD92</f>
        <v>50.725615908343826</v>
      </c>
      <c r="AE97" s="48">
        <f t="shared" ref="AE97:AF97" si="291">AE98*AE92</f>
        <v>69.073660847666503</v>
      </c>
      <c r="AF97" s="48">
        <f t="shared" si="291"/>
        <v>59.45873613840817</v>
      </c>
      <c r="AG97" s="49">
        <f>SUM(AC97:AF97)</f>
        <v>229.81573251103853</v>
      </c>
      <c r="AH97" s="48">
        <f>AH98*AH92</f>
        <v>53.355591288825082</v>
      </c>
      <c r="AI97" s="48">
        <f>AI98*AI92</f>
        <v>53.95224031370978</v>
      </c>
      <c r="AJ97" s="48">
        <f t="shared" ref="AJ97:AK97" si="292">AJ98*AJ92</f>
        <v>63.011081757392688</v>
      </c>
      <c r="AK97" s="48">
        <f t="shared" si="292"/>
        <v>62.357616331254093</v>
      </c>
      <c r="AL97" s="49">
        <f>SUM(AH97:AK97)</f>
        <v>232.67652969118163</v>
      </c>
      <c r="AM97" s="48">
        <f>AM98*AM92</f>
        <v>61.334873951104008</v>
      </c>
      <c r="AN97" s="48">
        <f>AN98*AN92</f>
        <v>61.06824763605406</v>
      </c>
      <c r="AO97" s="48">
        <f t="shared" ref="AO97:AP97" si="293">AO98*AO92</f>
        <v>70.273836357957251</v>
      </c>
      <c r="AP97" s="48">
        <f t="shared" si="293"/>
        <v>68.639193857315334</v>
      </c>
      <c r="AQ97" s="49">
        <f>SUM(AM97:AP97)</f>
        <v>261.31615180243062</v>
      </c>
      <c r="AR97" s="48">
        <f>AR98*AR92</f>
        <v>65.752071190294259</v>
      </c>
      <c r="AS97" s="48">
        <f>AS98*AS92</f>
        <v>65.398581675674691</v>
      </c>
      <c r="AT97" s="48">
        <f t="shared" ref="AT97:AU97" si="294">AT98*AT92</f>
        <v>75.201937358323804</v>
      </c>
      <c r="AU97" s="48">
        <f t="shared" si="294"/>
        <v>73.493593443110939</v>
      </c>
      <c r="AV97" s="49">
        <f>SUM(AR97:AU97)</f>
        <v>279.84618366740369</v>
      </c>
    </row>
    <row r="98" spans="1:48" s="184" customFormat="1" outlineLevel="1" x14ac:dyDescent="0.3">
      <c r="B98" s="181" t="s">
        <v>152</v>
      </c>
      <c r="C98" s="190"/>
      <c r="D98" s="167">
        <f>D97/D92</f>
        <v>2.0811170212765958E-2</v>
      </c>
      <c r="E98" s="167">
        <f t="shared" ref="E98:U98" si="295">E97/E92</f>
        <v>1.7196286125277887E-2</v>
      </c>
      <c r="F98" s="167">
        <f t="shared" si="295"/>
        <v>1.6842238062196431E-2</v>
      </c>
      <c r="G98" s="167">
        <f t="shared" si="295"/>
        <v>2.0291330068061827E-2</v>
      </c>
      <c r="H98" s="186">
        <f t="shared" si="295"/>
        <v>1.8769787426503842E-2</v>
      </c>
      <c r="I98" s="167">
        <f t="shared" si="295"/>
        <v>2.2850232321303544E-2</v>
      </c>
      <c r="J98" s="167">
        <f t="shared" si="295"/>
        <v>2.8027498677948178E-2</v>
      </c>
      <c r="K98" s="167">
        <f t="shared" si="295"/>
        <v>3.9490311710193765E-2</v>
      </c>
      <c r="L98" s="167">
        <f t="shared" si="295"/>
        <v>2.6401111625752663E-2</v>
      </c>
      <c r="M98" s="186">
        <f t="shared" si="295"/>
        <v>2.8084233344946388E-2</v>
      </c>
      <c r="N98" s="167">
        <f t="shared" si="295"/>
        <v>2.0733845130871061E-2</v>
      </c>
      <c r="O98" s="167">
        <f t="shared" si="295"/>
        <v>1.8188590229064498E-2</v>
      </c>
      <c r="P98" s="167">
        <f t="shared" si="295"/>
        <v>2.3094548962855763E-2</v>
      </c>
      <c r="Q98" s="167">
        <f t="shared" si="295"/>
        <v>2.0787631881332914E-2</v>
      </c>
      <c r="R98" s="188">
        <f t="shared" si="295"/>
        <v>2.0721827381474659E-2</v>
      </c>
      <c r="S98" s="167">
        <f t="shared" si="295"/>
        <v>2.0896636281251667E-2</v>
      </c>
      <c r="T98" s="167">
        <f t="shared" si="295"/>
        <v>2.3202537593984961E-2</v>
      </c>
      <c r="U98" s="167">
        <f t="shared" si="295"/>
        <v>3.7988262762668014E-2</v>
      </c>
      <c r="V98" s="189">
        <f>Q98</f>
        <v>2.0787631881332914E-2</v>
      </c>
      <c r="W98" s="188">
        <f t="shared" ref="W98" si="296">W97/W92</f>
        <v>2.5306792064111489E-2</v>
      </c>
      <c r="X98" s="189">
        <f>S98</f>
        <v>2.0896636281251667E-2</v>
      </c>
      <c r="Y98" s="189">
        <f t="shared" ref="Y98" si="297">T98</f>
        <v>2.3202537593984961E-2</v>
      </c>
      <c r="Z98" s="189">
        <f>U98-0.5%</f>
        <v>3.2988262762668016E-2</v>
      </c>
      <c r="AA98" s="189">
        <f t="shared" ref="AA98" si="298">V98</f>
        <v>2.0787631881332914E-2</v>
      </c>
      <c r="AB98" s="188">
        <f t="shared" ref="AB98" si="299">AB97/AB92</f>
        <v>2.4465029783031982E-2</v>
      </c>
      <c r="AC98" s="189">
        <f>X98</f>
        <v>2.0896636281251667E-2</v>
      </c>
      <c r="AD98" s="189">
        <f t="shared" ref="AD98" si="300">Y98</f>
        <v>2.3202537593984961E-2</v>
      </c>
      <c r="AE98" s="189">
        <f>Z98-0.5%</f>
        <v>2.7988262762668015E-2</v>
      </c>
      <c r="AF98" s="189">
        <f t="shared" ref="AF98" si="301">AA98</f>
        <v>2.0787631881332914E-2</v>
      </c>
      <c r="AG98" s="188">
        <f t="shared" ref="AG98" si="302">AG97/AG92</f>
        <v>2.3134553402672536E-2</v>
      </c>
      <c r="AH98" s="189">
        <f>AC98-0.2%</f>
        <v>1.8896636281251669E-2</v>
      </c>
      <c r="AI98" s="189">
        <f>AD98-0.2%</f>
        <v>2.1202537593984959E-2</v>
      </c>
      <c r="AJ98" s="189">
        <f>AE98-0.6%</f>
        <v>2.1988262762668014E-2</v>
      </c>
      <c r="AK98" s="189">
        <f>AF98-0.2%</f>
        <v>1.8787631881332915E-2</v>
      </c>
      <c r="AL98" s="188">
        <f t="shared" ref="AL98" si="303">AL97/AL92</f>
        <v>2.0140081451625297E-2</v>
      </c>
      <c r="AM98" s="189">
        <f>AH98</f>
        <v>1.8896636281251669E-2</v>
      </c>
      <c r="AN98" s="189">
        <f t="shared" ref="AN98:AP98" si="304">AI98</f>
        <v>2.1202537593984959E-2</v>
      </c>
      <c r="AO98" s="189">
        <f t="shared" si="304"/>
        <v>2.1988262762668014E-2</v>
      </c>
      <c r="AP98" s="189">
        <f t="shared" si="304"/>
        <v>1.8787631881332915E-2</v>
      </c>
      <c r="AQ98" s="188">
        <f t="shared" ref="AQ98" si="305">AQ97/AQ92</f>
        <v>2.0139295037204911E-2</v>
      </c>
      <c r="AR98" s="189">
        <f>AM98</f>
        <v>1.8896636281251669E-2</v>
      </c>
      <c r="AS98" s="189">
        <f t="shared" ref="AS98:AU98" si="306">AN98</f>
        <v>2.1202537593984959E-2</v>
      </c>
      <c r="AT98" s="189">
        <f t="shared" si="306"/>
        <v>2.1988262762668014E-2</v>
      </c>
      <c r="AU98" s="189">
        <f t="shared" si="306"/>
        <v>1.8787631881332915E-2</v>
      </c>
      <c r="AV98" s="188">
        <f t="shared" ref="AV98" si="307">AV97/AV92</f>
        <v>2.013870683273819E-2</v>
      </c>
    </row>
    <row r="99" spans="1:48" outlineLevel="1" x14ac:dyDescent="0.3">
      <c r="B99" s="180" t="s">
        <v>34</v>
      </c>
      <c r="C99" s="18"/>
      <c r="D99" s="358">
        <v>127</v>
      </c>
      <c r="E99" s="358">
        <v>130.4</v>
      </c>
      <c r="F99" s="358">
        <v>127.7</v>
      </c>
      <c r="G99" s="358">
        <v>126.5</v>
      </c>
      <c r="H99" s="126">
        <f>SUM(D99:G99)</f>
        <v>511.59999999999997</v>
      </c>
      <c r="I99" s="358">
        <v>126.6</v>
      </c>
      <c r="J99" s="358">
        <v>130</v>
      </c>
      <c r="K99" s="358">
        <v>128.5</v>
      </c>
      <c r="L99" s="358">
        <v>133.1</v>
      </c>
      <c r="M99" s="126">
        <f>SUM(I99:L99)</f>
        <v>518.20000000000005</v>
      </c>
      <c r="N99" s="358">
        <v>140</v>
      </c>
      <c r="O99" s="358">
        <v>143.4</v>
      </c>
      <c r="P99" s="358">
        <v>129.69999999999999</v>
      </c>
      <c r="Q99" s="358">
        <v>131.6</v>
      </c>
      <c r="R99" s="126">
        <f>SUM(N99:Q99)</f>
        <v>544.69999999999993</v>
      </c>
      <c r="S99" s="358">
        <v>133.1</v>
      </c>
      <c r="T99" s="358">
        <v>133.4</v>
      </c>
      <c r="U99" s="358">
        <v>125</v>
      </c>
      <c r="V99" s="358">
        <f>(U99/(U66+U99+U114+U127))*'CFS (Bull-Case)'!V7*0.95</f>
        <v>129.33440412063263</v>
      </c>
      <c r="W99" s="126">
        <f>SUM(S99:V99)</f>
        <v>520.8344041206326</v>
      </c>
      <c r="X99" s="358">
        <f>(V99/(V66+V99+V114+V127))*'CFS (Bull-Case)'!X7*0.95</f>
        <v>131.48195836795102</v>
      </c>
      <c r="Y99" s="358">
        <f>(X99/(X66+X99+X114+X127))*'CFS (Bull-Case)'!Y7*0.95</f>
        <v>137.11505728518731</v>
      </c>
      <c r="Z99" s="358">
        <f>(Y99/(Y66+Y99+Y114+Y127))*'CFS (Bull-Case)'!Z7*0.95</f>
        <v>141.81444329445125</v>
      </c>
      <c r="AA99" s="358">
        <f>(Z99/(Z66+Z99+Z114+Z127))*'CFS (Bull-Case)'!AA7*0.95</f>
        <v>147.48346159219238</v>
      </c>
      <c r="AB99" s="126">
        <f>SUM(X99:AA99)</f>
        <v>557.89492053978199</v>
      </c>
      <c r="AC99" s="358">
        <f>(AA99/(AA66+AA99+AA114+AA127))*'CFS (Bull-Case)'!AC7*0.95</f>
        <v>153.21785761205976</v>
      </c>
      <c r="AD99" s="358">
        <f>(AC99/(AC66+AC99+AC114+AC127))*'CFS (Bull-Case)'!AD7*0.95</f>
        <v>157.66654819115163</v>
      </c>
      <c r="AE99" s="358">
        <f>(AD99/(AD66+AD99+AD114+AD127))*'CFS (Bull-Case)'!AE7*0.95</f>
        <v>161.07039644587874</v>
      </c>
      <c r="AF99" s="358">
        <f>(AE99/(AE66+AE99+AE114+AE127))*'CFS (Bull-Case)'!AF7*0.95</f>
        <v>165.52905587350793</v>
      </c>
      <c r="AG99" s="126">
        <f>SUM(AC99:AF99)</f>
        <v>637.48385812259801</v>
      </c>
      <c r="AH99" s="358">
        <f>(AF99/(AF66+AF99+AF114+AF127))*'CFS (Bull-Case)'!AH7*0.95</f>
        <v>170.08436246225909</v>
      </c>
      <c r="AI99" s="358">
        <f>(AH99/(AH66+AH99+AH114+AH127))*'CFS (Bull-Case)'!AI7*0.95</f>
        <v>173.49432713233787</v>
      </c>
      <c r="AJ99" s="358">
        <f>(AI99/(AI66+AI99+AI114+AI127))*'CFS (Bull-Case)'!AJ7*0.95</f>
        <v>175.93863462188244</v>
      </c>
      <c r="AK99" s="358">
        <f>(AJ99/(AJ66+AJ99+AJ114+AJ127))*'CFS (Bull-Case)'!AK7*0.95</f>
        <v>179.49445298687482</v>
      </c>
      <c r="AL99" s="126">
        <f>SUM(AH99:AK99)</f>
        <v>699.01177720335431</v>
      </c>
      <c r="AM99" s="358">
        <f>(AK99/(AK66+AK99+AK114+AK127))*'CFS (Bull-Case)'!AM7*0.95</f>
        <v>183.21394385152777</v>
      </c>
      <c r="AN99" s="358">
        <f>(AM99/(AM66+AM99+AM114+AM127))*'CFS (Bull-Case)'!AN7*0.95</f>
        <v>187.19605849092957</v>
      </c>
      <c r="AO99" s="358">
        <f>(AN99/(AN66+AN99+AN114+AN127))*'CFS (Bull-Case)'!AO7*0.95</f>
        <v>190.03503367587646</v>
      </c>
      <c r="AP99" s="358">
        <f>(AO99/(AO66+AO99+AO114+AO127))*'CFS (Bull-Case)'!AP7*0.95</f>
        <v>194.02164053902308</v>
      </c>
      <c r="AQ99" s="126">
        <f>SUM(AM99:AP99)</f>
        <v>754.46667655735689</v>
      </c>
      <c r="AR99" s="358">
        <f>(AP99/(AP66+AP99+AP114+AP127))*'CFS (Bull-Case)'!AR7*0.95</f>
        <v>198.13226875114697</v>
      </c>
      <c r="AS99" s="358">
        <f>(AR99/(AR66+AR99+AR114+AR127))*'CFS (Bull-Case)'!AS7*0.95</f>
        <v>202.19091772770261</v>
      </c>
      <c r="AT99" s="358">
        <f>(AS99/(AS66+AS99+AS114+AS127))*'CFS (Bull-Case)'!AT7*0.95</f>
        <v>205.03256329193519</v>
      </c>
      <c r="AU99" s="358">
        <f>(AT99/(AT66+AT99+AT114+AT127))*'CFS (Bull-Case)'!AU7*0.95</f>
        <v>209.10236473479944</v>
      </c>
      <c r="AV99" s="126">
        <f>SUM(AR99:AU99)</f>
        <v>814.45811450558426</v>
      </c>
    </row>
    <row r="100" spans="1:48" outlineLevel="1" x14ac:dyDescent="0.3">
      <c r="B100" s="180" t="s">
        <v>35</v>
      </c>
      <c r="C100" s="18"/>
      <c r="D100" s="105">
        <v>69.3</v>
      </c>
      <c r="E100" s="105">
        <v>80.2</v>
      </c>
      <c r="F100" s="105">
        <v>86</v>
      </c>
      <c r="G100" s="105">
        <v>82.4</v>
      </c>
      <c r="H100" s="170">
        <f>SUM(D100:G100)</f>
        <v>317.89999999999998</v>
      </c>
      <c r="I100" s="105">
        <v>67.2</v>
      </c>
      <c r="J100" s="105">
        <v>63.7</v>
      </c>
      <c r="K100" s="105">
        <v>66.099999999999994</v>
      </c>
      <c r="L100" s="105">
        <v>84.5</v>
      </c>
      <c r="M100" s="170">
        <f>SUM(I100:L100)</f>
        <v>281.5</v>
      </c>
      <c r="N100" s="105">
        <v>82.6</v>
      </c>
      <c r="O100" s="105">
        <v>79.8</v>
      </c>
      <c r="P100" s="105">
        <v>92.3</v>
      </c>
      <c r="Q100" s="105">
        <v>98.4</v>
      </c>
      <c r="R100" s="49">
        <f>SUM(N100:Q100)</f>
        <v>353.1</v>
      </c>
      <c r="S100" s="48">
        <v>91.3</v>
      </c>
      <c r="T100" s="48">
        <v>79.599999999999994</v>
      </c>
      <c r="U100" s="48">
        <v>81.8</v>
      </c>
      <c r="V100" s="48">
        <f t="shared" ref="V100" si="308">V101*V92</f>
        <v>93.721868692750746</v>
      </c>
      <c r="W100" s="49">
        <f>SUM(S100:V100)</f>
        <v>346.42186869275076</v>
      </c>
      <c r="X100" s="48">
        <f>X101*X92</f>
        <v>90.496851975741492</v>
      </c>
      <c r="Y100" s="48">
        <f>Y101*Y92</f>
        <v>87.259238485240132</v>
      </c>
      <c r="Z100" s="48">
        <f t="shared" ref="Z100:AA100" si="309">Z101*Z92</f>
        <v>98.432755978184503</v>
      </c>
      <c r="AA100" s="48">
        <f t="shared" si="309"/>
        <v>113.61115242876841</v>
      </c>
      <c r="AB100" s="49">
        <f>SUM(X100:AA100)</f>
        <v>389.79999886793451</v>
      </c>
      <c r="AC100" s="48">
        <f>AC101*AC92</f>
        <v>110.4947990385448</v>
      </c>
      <c r="AD100" s="48">
        <f>AD101*AD92</f>
        <v>102.22174750137135</v>
      </c>
      <c r="AE100" s="48">
        <f t="shared" ref="AE100:AF100" si="310">AE101*AE92</f>
        <v>115.05242724534155</v>
      </c>
      <c r="AF100" s="48">
        <f t="shared" si="310"/>
        <v>132.70203906950712</v>
      </c>
      <c r="AG100" s="49">
        <f>SUM(AC100:AF100)</f>
        <v>460.47101285476481</v>
      </c>
      <c r="AH100" s="48">
        <f>AH101*AH92</f>
        <v>123.30433466794348</v>
      </c>
      <c r="AI100" s="48">
        <f>AI101*AI92</f>
        <v>113.89053783193276</v>
      </c>
      <c r="AJ100" s="48">
        <f t="shared" ref="AJ100:AK100" si="311">AJ101*AJ92</f>
        <v>127.86214467949708</v>
      </c>
      <c r="AK100" s="48">
        <f t="shared" si="311"/>
        <v>147.34896642278375</v>
      </c>
      <c r="AL100" s="49">
        <f>SUM(AH100:AK100)</f>
        <v>512.40598360215699</v>
      </c>
      <c r="AM100" s="48">
        <f>AM101*AM92</f>
        <v>141.74439157732732</v>
      </c>
      <c r="AN100" s="48">
        <f>AN101*AN92</f>
        <v>128.91208089382152</v>
      </c>
      <c r="AO100" s="48">
        <f t="shared" ref="AO100:AP100" si="312">AO101*AO92</f>
        <v>142.59973295142225</v>
      </c>
      <c r="AP100" s="48">
        <f t="shared" si="312"/>
        <v>162.19212449112385</v>
      </c>
      <c r="AQ100" s="49">
        <f>SUM(AM100:AP100)</f>
        <v>575.44832991369492</v>
      </c>
      <c r="AR100" s="48">
        <f>AR101*AR92</f>
        <v>151.95249823529826</v>
      </c>
      <c r="AS100" s="48">
        <f>AS101*AS92</f>
        <v>138.05320404082451</v>
      </c>
      <c r="AT100" s="48">
        <f t="shared" ref="AT100:AU100" si="313">AT101*AT92</f>
        <v>152.59984000449813</v>
      </c>
      <c r="AU100" s="48">
        <f t="shared" si="313"/>
        <v>173.66290871370268</v>
      </c>
      <c r="AV100" s="49">
        <f>SUM(AR100:AU100)</f>
        <v>616.26845099432353</v>
      </c>
    </row>
    <row r="101" spans="1:48" s="184" customFormat="1" outlineLevel="1" x14ac:dyDescent="0.3">
      <c r="B101" s="181" t="s">
        <v>153</v>
      </c>
      <c r="C101" s="190"/>
      <c r="D101" s="167">
        <f>D100/D92</f>
        <v>4.6077127659574467E-2</v>
      </c>
      <c r="E101" s="167">
        <f t="shared" ref="E101:U101" si="314">E100/E92</f>
        <v>5.2438864914345497E-2</v>
      </c>
      <c r="F101" s="167">
        <f t="shared" si="314"/>
        <v>5.4248407241531571E-2</v>
      </c>
      <c r="G101" s="167">
        <f t="shared" si="314"/>
        <v>5.2413968577062528E-2</v>
      </c>
      <c r="H101" s="186">
        <f t="shared" si="314"/>
        <v>5.1350390902629703E-2</v>
      </c>
      <c r="I101" s="167">
        <f t="shared" si="314"/>
        <v>4.277257972121444E-2</v>
      </c>
      <c r="J101" s="167">
        <f t="shared" si="314"/>
        <v>5.6143134144191795E-2</v>
      </c>
      <c r="K101" s="167">
        <f t="shared" si="314"/>
        <v>6.9608256107834873E-2</v>
      </c>
      <c r="L101" s="167">
        <f t="shared" si="314"/>
        <v>5.5912128630979954E-2</v>
      </c>
      <c r="M101" s="186">
        <f t="shared" si="314"/>
        <v>5.4484573994503162E-2</v>
      </c>
      <c r="N101" s="167">
        <f t="shared" si="314"/>
        <v>4.9930484192709908E-2</v>
      </c>
      <c r="O101" s="167">
        <f t="shared" si="314"/>
        <v>4.9537525606803648E-2</v>
      </c>
      <c r="P101" s="167">
        <f t="shared" si="314"/>
        <v>5.5656054027978775E-2</v>
      </c>
      <c r="Q101" s="167">
        <f t="shared" si="314"/>
        <v>5.139454716389847E-2</v>
      </c>
      <c r="R101" s="188">
        <f t="shared" si="314"/>
        <v>5.1636395542686682E-2</v>
      </c>
      <c r="S101" s="167">
        <f t="shared" si="314"/>
        <v>4.8669971746894823E-2</v>
      </c>
      <c r="T101" s="167">
        <f t="shared" si="314"/>
        <v>4.6757518796992477E-2</v>
      </c>
      <c r="U101" s="167">
        <f t="shared" si="314"/>
        <v>5.1618602890136929E-2</v>
      </c>
      <c r="V101" s="189">
        <f>Q101</f>
        <v>5.139454716389847E-2</v>
      </c>
      <c r="W101" s="188">
        <f t="shared" ref="W101" si="315">W100/W92</f>
        <v>4.9583925366117061E-2</v>
      </c>
      <c r="X101" s="189">
        <f>S101</f>
        <v>4.8669971746894823E-2</v>
      </c>
      <c r="Y101" s="189">
        <f t="shared" ref="Y101" si="316">T101</f>
        <v>4.6757518796992477E-2</v>
      </c>
      <c r="Z101" s="189">
        <f>U101-0.5%</f>
        <v>4.6618602890136931E-2</v>
      </c>
      <c r="AA101" s="189">
        <f>V101-0.5%</f>
        <v>4.6394547163898472E-2</v>
      </c>
      <c r="AB101" s="188">
        <f t="shared" ref="AB101" si="317">AB100/AB92</f>
        <v>4.7044013125674251E-2</v>
      </c>
      <c r="AC101" s="189">
        <f>X101-0.3%</f>
        <v>4.566997174689482E-2</v>
      </c>
      <c r="AD101" s="189">
        <f t="shared" ref="AD101:AF101" si="318">Y101</f>
        <v>4.6757518796992477E-2</v>
      </c>
      <c r="AE101" s="189">
        <f t="shared" si="318"/>
        <v>4.6618602890136931E-2</v>
      </c>
      <c r="AF101" s="189">
        <f t="shared" si="318"/>
        <v>4.6394547163898472E-2</v>
      </c>
      <c r="AG101" s="188">
        <f t="shared" ref="AG101" si="319">AG100/AG92</f>
        <v>4.6353620445717711E-2</v>
      </c>
      <c r="AH101" s="189">
        <f>AC101-0.2%</f>
        <v>4.3669971746894819E-2</v>
      </c>
      <c r="AI101" s="189">
        <f>AD101-0.2%</f>
        <v>4.4757518796992475E-2</v>
      </c>
      <c r="AJ101" s="189">
        <f>AE101-0.2%</f>
        <v>4.461860289013693E-2</v>
      </c>
      <c r="AK101" s="189">
        <f>AF101-0.2%</f>
        <v>4.4394547163898471E-2</v>
      </c>
      <c r="AL101" s="188">
        <f t="shared" ref="AL101" si="320">AL100/AL92</f>
        <v>4.4352983344493897E-2</v>
      </c>
      <c r="AM101" s="189">
        <f>AH101</f>
        <v>4.3669971746894819E-2</v>
      </c>
      <c r="AN101" s="189">
        <f t="shared" ref="AN101:AP101" si="321">AI101</f>
        <v>4.4757518796992475E-2</v>
      </c>
      <c r="AO101" s="189">
        <f t="shared" si="321"/>
        <v>4.461860289013693E-2</v>
      </c>
      <c r="AP101" s="189">
        <f t="shared" si="321"/>
        <v>4.4394547163898471E-2</v>
      </c>
      <c r="AQ101" s="188">
        <f t="shared" ref="AQ101" si="322">AQ100/AQ92</f>
        <v>4.4349052344689145E-2</v>
      </c>
      <c r="AR101" s="189">
        <f>AM101</f>
        <v>4.3669971746894819E-2</v>
      </c>
      <c r="AS101" s="189">
        <f t="shared" ref="AS101:AU101" si="323">AN101</f>
        <v>4.4757518796992475E-2</v>
      </c>
      <c r="AT101" s="189">
        <f t="shared" si="323"/>
        <v>4.461860289013693E-2</v>
      </c>
      <c r="AU101" s="189">
        <f t="shared" si="323"/>
        <v>4.4394547163898471E-2</v>
      </c>
      <c r="AV101" s="188">
        <f t="shared" ref="AV101" si="324">AV100/AV92</f>
        <v>4.4348825852099587E-2</v>
      </c>
    </row>
    <row r="102" spans="1:48" ht="16.2" outlineLevel="1" x14ac:dyDescent="0.45">
      <c r="B102" s="180" t="s">
        <v>42</v>
      </c>
      <c r="C102" s="18"/>
      <c r="D102" s="119">
        <v>6.4</v>
      </c>
      <c r="E102" s="119">
        <v>24.2</v>
      </c>
      <c r="F102" s="119">
        <v>16.600000000000001</v>
      </c>
      <c r="G102" s="119">
        <v>12</v>
      </c>
      <c r="H102" s="131">
        <f>SUM(D102:G102)</f>
        <v>59.2</v>
      </c>
      <c r="I102" s="119">
        <v>0.8</v>
      </c>
      <c r="J102" s="119">
        <v>-1.2</v>
      </c>
      <c r="K102" s="119">
        <v>-0.2</v>
      </c>
      <c r="L102" s="119">
        <v>-0.6</v>
      </c>
      <c r="M102" s="131">
        <f>SUM(I102:L102)</f>
        <v>-1.1999999999999997</v>
      </c>
      <c r="N102" s="119">
        <v>0</v>
      </c>
      <c r="O102" s="119">
        <v>0</v>
      </c>
      <c r="P102" s="119">
        <v>0</v>
      </c>
      <c r="Q102" s="119">
        <v>0</v>
      </c>
      <c r="R102" s="131">
        <f>SUM(N102:Q102)</f>
        <v>0</v>
      </c>
      <c r="S102" s="119">
        <v>0</v>
      </c>
      <c r="T102" s="119">
        <v>0</v>
      </c>
      <c r="U102" s="119">
        <v>0</v>
      </c>
      <c r="V102" s="119">
        <f>IFERROR((V163*(U102/U163)),0)</f>
        <v>0</v>
      </c>
      <c r="W102" s="131">
        <f>SUM(S102:V102)</f>
        <v>0</v>
      </c>
      <c r="X102" s="119">
        <f>IFERROR((X163*(V102/V163)),0)</f>
        <v>0</v>
      </c>
      <c r="Y102" s="119">
        <f t="shared" ref="Y102:AA102" si="325">IFERROR((Y163*(X102/X163)),0)</f>
        <v>0</v>
      </c>
      <c r="Z102" s="119">
        <f t="shared" si="325"/>
        <v>0</v>
      </c>
      <c r="AA102" s="119">
        <f t="shared" si="325"/>
        <v>0</v>
      </c>
      <c r="AB102" s="131">
        <f>SUM(X102:AA102)</f>
        <v>0</v>
      </c>
      <c r="AC102" s="119">
        <f>IFERROR((AC163*(AA102/AA163)),0)</f>
        <v>0</v>
      </c>
      <c r="AD102" s="119">
        <f t="shared" ref="AD102:AF102" si="326">IFERROR((AD163*(AC102/AC163)),0)</f>
        <v>0</v>
      </c>
      <c r="AE102" s="119">
        <f t="shared" si="326"/>
        <v>0</v>
      </c>
      <c r="AF102" s="119">
        <f t="shared" si="326"/>
        <v>0</v>
      </c>
      <c r="AG102" s="131">
        <f>SUM(AC102:AF102)</f>
        <v>0</v>
      </c>
      <c r="AH102" s="119">
        <f>IFERROR((AH163*(AF102/AF163)),0)</f>
        <v>0</v>
      </c>
      <c r="AI102" s="119">
        <f t="shared" ref="AI102:AK102" si="327">IFERROR((AI163*(AH102/AH163)),0)</f>
        <v>0</v>
      </c>
      <c r="AJ102" s="119">
        <f t="shared" si="327"/>
        <v>0</v>
      </c>
      <c r="AK102" s="119">
        <f t="shared" si="327"/>
        <v>0</v>
      </c>
      <c r="AL102" s="131">
        <f>SUM(AH102:AK102)</f>
        <v>0</v>
      </c>
      <c r="AM102" s="119">
        <f>IFERROR((AM163*(AK102/AK163)),0)</f>
        <v>0</v>
      </c>
      <c r="AN102" s="119">
        <f t="shared" ref="AN102:AP102" si="328">IFERROR((AN163*(AM102/AM163)),0)</f>
        <v>0</v>
      </c>
      <c r="AO102" s="119">
        <f t="shared" si="328"/>
        <v>0</v>
      </c>
      <c r="AP102" s="119">
        <f t="shared" si="328"/>
        <v>0</v>
      </c>
      <c r="AQ102" s="131">
        <f>SUM(AM102:AP102)</f>
        <v>0</v>
      </c>
      <c r="AR102" s="119">
        <f>IFERROR((AR163*(AP102/AP163)),0)</f>
        <v>0</v>
      </c>
      <c r="AS102" s="119">
        <f t="shared" ref="AS102:AU102" si="329">IFERROR((AS163*(AR102/AR163)),0)</f>
        <v>0</v>
      </c>
      <c r="AT102" s="119">
        <f t="shared" si="329"/>
        <v>0</v>
      </c>
      <c r="AU102" s="119">
        <f t="shared" si="329"/>
        <v>0</v>
      </c>
      <c r="AV102" s="131">
        <f>SUM(AR102:AU102)</f>
        <v>0</v>
      </c>
    </row>
    <row r="103" spans="1:48" outlineLevel="1" x14ac:dyDescent="0.3">
      <c r="B103" s="46" t="s">
        <v>123</v>
      </c>
      <c r="C103" s="19"/>
      <c r="D103" s="103">
        <f>D93+D95+D97+D99+D100+D102</f>
        <v>1300.4000000000001</v>
      </c>
      <c r="E103" s="103">
        <f t="shared" ref="E103:G103" si="330">E93+E95+E97+E99+E100+E102</f>
        <v>1349.7</v>
      </c>
      <c r="F103" s="103">
        <f t="shared" si="330"/>
        <v>1342.3000000000002</v>
      </c>
      <c r="G103" s="103">
        <f t="shared" si="330"/>
        <v>1336.2000000000003</v>
      </c>
      <c r="H103" s="171">
        <f>H93+H95+H97+H99+H100+H102</f>
        <v>5328.5999999999995</v>
      </c>
      <c r="I103" s="103">
        <f>I93+I95+I97+I99+I100+I102</f>
        <v>1326.1</v>
      </c>
      <c r="J103" s="103">
        <f t="shared" ref="J103:L103" si="331">J93+J95+J97+J99+J100+J102</f>
        <v>1174.8</v>
      </c>
      <c r="K103" s="103">
        <f t="shared" si="331"/>
        <v>1052.9999999999998</v>
      </c>
      <c r="L103" s="103">
        <f t="shared" si="331"/>
        <v>1358.8000000000002</v>
      </c>
      <c r="M103" s="171">
        <f>M93+M95+M97+M99+M100+M102</f>
        <v>4912.7000000000007</v>
      </c>
      <c r="N103" s="103">
        <f>N93+N95+N97+N99+N100+N102</f>
        <v>1405.8</v>
      </c>
      <c r="O103" s="103">
        <f t="shared" ref="O103:P103" si="332">O93+O95+O97+O99+O100+O102</f>
        <v>1386.2</v>
      </c>
      <c r="P103" s="103">
        <f t="shared" si="332"/>
        <v>1382.1</v>
      </c>
      <c r="Q103" s="103">
        <f>Q93+Q95+Q97+Q99+Q100+Q102</f>
        <v>1577.5</v>
      </c>
      <c r="R103" s="171">
        <f>R93+R95+R97+R99+R100+R102</f>
        <v>5751.6</v>
      </c>
      <c r="S103" s="103">
        <f>S93+S95+S97+S99+S100+S102</f>
        <v>1577</v>
      </c>
      <c r="T103" s="103">
        <f t="shared" ref="T103:V103" si="333">T93+T95+T97+T99+T100+T102</f>
        <v>1522.3</v>
      </c>
      <c r="U103" s="103">
        <f t="shared" si="333"/>
        <v>1449.8</v>
      </c>
      <c r="V103" s="103">
        <f t="shared" si="333"/>
        <v>1579.8379843847188</v>
      </c>
      <c r="W103" s="171">
        <f>W93+W95+W97+W99+W100+W102</f>
        <v>6128.9379843847191</v>
      </c>
      <c r="X103" s="103">
        <f>X93+X95+X97+X99+X100+X102</f>
        <v>1587.0342091461987</v>
      </c>
      <c r="Y103" s="103">
        <f t="shared" ref="Y103:AA103" si="334">Y93+Y95+Y97+Y99+Y100+Y102</f>
        <v>1596.7846748751249</v>
      </c>
      <c r="Z103" s="103">
        <f t="shared" si="334"/>
        <v>1878.1968625373145</v>
      </c>
      <c r="AA103" s="103">
        <f t="shared" si="334"/>
        <v>2070.1674925261586</v>
      </c>
      <c r="AB103" s="171">
        <f>AB93+AB95+AB97+AB99+AB100+AB102</f>
        <v>7132.1832390847976</v>
      </c>
      <c r="AC103" s="103">
        <f>AC93+AC95+AC97+AC99+AC100+AC102</f>
        <v>2026.1181427923605</v>
      </c>
      <c r="AD103" s="103">
        <f t="shared" ref="AD103:AF103" si="335">AD93+AD95+AD97+AD99+AD100+AD102</f>
        <v>1796.8260707514362</v>
      </c>
      <c r="AE103" s="103">
        <f t="shared" si="335"/>
        <v>2185.5753814615941</v>
      </c>
      <c r="AF103" s="103">
        <f t="shared" si="335"/>
        <v>2417.6870242196119</v>
      </c>
      <c r="AG103" s="171">
        <f>AG93+AG95+AG97+AG99+AG100+AG102</f>
        <v>8426.2066192250022</v>
      </c>
      <c r="AH103" s="103">
        <f>AH93+AH95+AH97+AH99+AH100+AH102</f>
        <v>2339.5324900799351</v>
      </c>
      <c r="AI103" s="103">
        <f t="shared" ref="AI103:AK103" si="336">AI93+AI95+AI97+AI99+AI100+AI102</f>
        <v>2067.3163810364995</v>
      </c>
      <c r="AJ103" s="103">
        <f t="shared" si="336"/>
        <v>2438.8617942498749</v>
      </c>
      <c r="AK103" s="103">
        <f t="shared" si="336"/>
        <v>2773.6440291175018</v>
      </c>
      <c r="AL103" s="171">
        <f>AL93+AL95+AL97+AL99+AL100+AL102</f>
        <v>9619.3546944838108</v>
      </c>
      <c r="AM103" s="103">
        <f>AM93+AM95+AM97+AM99+AM100+AM102</f>
        <v>2683.7594379183511</v>
      </c>
      <c r="AN103" s="103">
        <f t="shared" ref="AN103:AP103" si="337">AN93+AN95+AN97+AN99+AN100+AN102</f>
        <v>2337.0452563544441</v>
      </c>
      <c r="AO103" s="103">
        <f t="shared" si="337"/>
        <v>2721.5467531508639</v>
      </c>
      <c r="AP103" s="103">
        <f t="shared" si="337"/>
        <v>3056.824741124964</v>
      </c>
      <c r="AQ103" s="171">
        <f>AQ93+AQ95+AQ97+AQ99+AQ100+AQ102</f>
        <v>10799.176188548625</v>
      </c>
      <c r="AR103" s="103">
        <f>AR93+AR95+AR97+AR99+AR100+AR102</f>
        <v>2885.8856048985072</v>
      </c>
      <c r="AS103" s="103">
        <f t="shared" ref="AS103:AU103" si="338">AS93+AS95+AS97+AS99+AS100+AS102</f>
        <v>2511.239671081195</v>
      </c>
      <c r="AT103" s="103">
        <f t="shared" si="338"/>
        <v>2922.3167684031223</v>
      </c>
      <c r="AU103" s="103">
        <f t="shared" si="338"/>
        <v>3281.9536854582143</v>
      </c>
      <c r="AV103" s="171">
        <f>AV93+AV95+AV97+AV99+AV100+AV102</f>
        <v>11601.395729841035</v>
      </c>
    </row>
    <row r="104" spans="1:48" ht="16.2" outlineLevel="1" x14ac:dyDescent="0.45">
      <c r="B104" s="180" t="s">
        <v>36</v>
      </c>
      <c r="C104" s="18"/>
      <c r="D104" s="119">
        <v>26.4</v>
      </c>
      <c r="E104" s="104">
        <v>22.1</v>
      </c>
      <c r="F104" s="104">
        <v>27.2</v>
      </c>
      <c r="G104" s="104">
        <v>26.8</v>
      </c>
      <c r="H104" s="214">
        <f>SUM(D104:G104)</f>
        <v>102.5</v>
      </c>
      <c r="I104" s="104">
        <v>30.9</v>
      </c>
      <c r="J104" s="104">
        <v>24.8</v>
      </c>
      <c r="K104" s="104">
        <v>17.399999999999999</v>
      </c>
      <c r="L104" s="104">
        <v>29.2</v>
      </c>
      <c r="M104" s="214">
        <f>SUM(I104:L104)</f>
        <v>102.3</v>
      </c>
      <c r="N104" s="104">
        <v>26.3</v>
      </c>
      <c r="O104" s="104">
        <v>26.8</v>
      </c>
      <c r="P104" s="104">
        <v>42</v>
      </c>
      <c r="Q104" s="104">
        <v>40.299999999999997</v>
      </c>
      <c r="R104" s="193">
        <f>SUM(N104:Q104)</f>
        <v>135.39999999999998</v>
      </c>
      <c r="S104" s="104">
        <v>0.7</v>
      </c>
      <c r="T104" s="104">
        <v>0.6</v>
      </c>
      <c r="U104" s="104">
        <v>0.4</v>
      </c>
      <c r="V104" s="56">
        <v>0.4</v>
      </c>
      <c r="W104" s="193">
        <f>SUM(S104:V104)</f>
        <v>2.0999999999999996</v>
      </c>
      <c r="X104" s="56">
        <v>0.4</v>
      </c>
      <c r="Y104" s="56">
        <v>0.5</v>
      </c>
      <c r="Z104" s="56">
        <v>0.6</v>
      </c>
      <c r="AA104" s="56">
        <v>0.7</v>
      </c>
      <c r="AB104" s="193">
        <f>SUM(X104:AA104)</f>
        <v>2.2000000000000002</v>
      </c>
      <c r="AC104" s="56">
        <v>1</v>
      </c>
      <c r="AD104" s="56">
        <v>1</v>
      </c>
      <c r="AE104" s="56">
        <v>1</v>
      </c>
      <c r="AF104" s="56">
        <v>1</v>
      </c>
      <c r="AG104" s="193">
        <f>SUM(AC104:AF104)</f>
        <v>4</v>
      </c>
      <c r="AH104" s="56">
        <v>1</v>
      </c>
      <c r="AI104" s="56">
        <v>1</v>
      </c>
      <c r="AJ104" s="56">
        <v>1</v>
      </c>
      <c r="AK104" s="56">
        <v>1</v>
      </c>
      <c r="AL104" s="193">
        <f>SUM(AH104:AK104)</f>
        <v>4</v>
      </c>
      <c r="AM104" s="56">
        <v>1</v>
      </c>
      <c r="AN104" s="56">
        <v>1</v>
      </c>
      <c r="AO104" s="56">
        <v>1</v>
      </c>
      <c r="AP104" s="56">
        <v>1</v>
      </c>
      <c r="AQ104" s="193">
        <f>SUM(AM104:AP104)</f>
        <v>4</v>
      </c>
      <c r="AR104" s="56">
        <v>1</v>
      </c>
      <c r="AS104" s="56">
        <v>1</v>
      </c>
      <c r="AT104" s="56">
        <v>1</v>
      </c>
      <c r="AU104" s="56">
        <v>1</v>
      </c>
      <c r="AV104" s="193">
        <f>SUM(AR104:AU104)</f>
        <v>4</v>
      </c>
    </row>
    <row r="105" spans="1:48" outlineLevel="1" x14ac:dyDescent="0.3">
      <c r="B105" s="46" t="s">
        <v>124</v>
      </c>
      <c r="C105" s="44"/>
      <c r="D105" s="156">
        <f>+D92-D103+D104</f>
        <v>229.99999999999991</v>
      </c>
      <c r="E105" s="156">
        <f t="shared" ref="E105:V105" si="339">+E92-E103+E104</f>
        <v>201.80000000000004</v>
      </c>
      <c r="F105" s="156">
        <f t="shared" si="339"/>
        <v>270.19999999999976</v>
      </c>
      <c r="G105" s="156">
        <f t="shared" si="339"/>
        <v>262.69999999999987</v>
      </c>
      <c r="H105" s="132">
        <f>SUM(D105:G105)</f>
        <v>964.69999999999959</v>
      </c>
      <c r="I105" s="156">
        <f t="shared" si="339"/>
        <v>275.89999999999998</v>
      </c>
      <c r="J105" s="156">
        <f t="shared" si="339"/>
        <v>-15.400000000000045</v>
      </c>
      <c r="K105" s="156">
        <f>+K92-K103+K104</f>
        <v>-85.999999999999744</v>
      </c>
      <c r="L105" s="156">
        <f t="shared" si="339"/>
        <v>181.69999999999976</v>
      </c>
      <c r="M105" s="132">
        <f>SUM(I105:L105)</f>
        <v>356.19999999999993</v>
      </c>
      <c r="N105" s="156">
        <f t="shared" si="339"/>
        <v>274.8</v>
      </c>
      <c r="O105" s="156">
        <f t="shared" si="339"/>
        <v>251.50000000000006</v>
      </c>
      <c r="P105" s="156">
        <f t="shared" si="339"/>
        <v>318.29999999999995</v>
      </c>
      <c r="Q105" s="156">
        <f t="shared" si="339"/>
        <v>377.39999999999992</v>
      </c>
      <c r="R105" s="97">
        <f>SUM(N105:Q105)</f>
        <v>1222</v>
      </c>
      <c r="S105" s="74">
        <f t="shared" si="339"/>
        <v>299.59999999999985</v>
      </c>
      <c r="T105" s="74">
        <f t="shared" si="339"/>
        <v>180.70000000000013</v>
      </c>
      <c r="U105" s="74">
        <f t="shared" si="339"/>
        <v>135.3000000000001</v>
      </c>
      <c r="V105" s="74">
        <f t="shared" si="339"/>
        <v>244.13813146020576</v>
      </c>
      <c r="W105" s="97">
        <f>SUM(S105:V105)</f>
        <v>859.73813146020575</v>
      </c>
      <c r="X105" s="74">
        <f t="shared" ref="X105:AA105" si="340">+X92-X103+X104</f>
        <v>272.76386994792472</v>
      </c>
      <c r="Y105" s="74">
        <f t="shared" si="340"/>
        <v>269.92295825644328</v>
      </c>
      <c r="Z105" s="74">
        <f t="shared" si="340"/>
        <v>233.85114053035917</v>
      </c>
      <c r="AA105" s="74">
        <f t="shared" si="340"/>
        <v>379.33650220652333</v>
      </c>
      <c r="AB105" s="97">
        <f>SUM(X105:AA105)</f>
        <v>1155.8744709412506</v>
      </c>
      <c r="AC105" s="74">
        <f t="shared" ref="AC105:AF105" si="341">+AC92-AC103+AC104</f>
        <v>394.30089365706613</v>
      </c>
      <c r="AD105" s="74">
        <f t="shared" si="341"/>
        <v>390.38376525779245</v>
      </c>
      <c r="AE105" s="74">
        <f t="shared" si="341"/>
        <v>283.37561047349709</v>
      </c>
      <c r="AF105" s="74">
        <f t="shared" si="341"/>
        <v>443.60685041848592</v>
      </c>
      <c r="AG105" s="97">
        <f>SUM(AC105:AF105)</f>
        <v>1511.6671198068416</v>
      </c>
      <c r="AH105" s="74">
        <f t="shared" ref="AH105:AK105" si="342">+AH92-AH103+AH104</f>
        <v>485.01718800546723</v>
      </c>
      <c r="AI105" s="74">
        <f t="shared" si="342"/>
        <v>478.29603031070292</v>
      </c>
      <c r="AJ105" s="74">
        <f t="shared" si="342"/>
        <v>427.80715092817718</v>
      </c>
      <c r="AK105" s="74">
        <f t="shared" si="342"/>
        <v>546.43400717357554</v>
      </c>
      <c r="AL105" s="97">
        <f>SUM(AH105:AK105)</f>
        <v>1937.5543764179229</v>
      </c>
      <c r="AM105" s="74">
        <f t="shared" ref="AM105:AP105" si="343">+AM92-AM103+AM104</f>
        <v>563.04965943711386</v>
      </c>
      <c r="AN105" s="74">
        <f t="shared" si="343"/>
        <v>544.18770469351921</v>
      </c>
      <c r="AO105" s="74">
        <f t="shared" si="343"/>
        <v>475.42362051909095</v>
      </c>
      <c r="AP105" s="74">
        <f t="shared" si="343"/>
        <v>597.5997186928862</v>
      </c>
      <c r="AQ105" s="97">
        <f>SUM(AM105:AP105)</f>
        <v>2180.2607033426102</v>
      </c>
      <c r="AR105" s="74">
        <f t="shared" ref="AR105:AU105" si="344">+AR92-AR103+AR104</f>
        <v>594.67923466663251</v>
      </c>
      <c r="AS105" s="74">
        <f t="shared" si="344"/>
        <v>574.22988289464183</v>
      </c>
      <c r="AT105" s="74">
        <f t="shared" si="344"/>
        <v>498.7777688516685</v>
      </c>
      <c r="AU105" s="74">
        <f t="shared" si="344"/>
        <v>630.85350276612917</v>
      </c>
      <c r="AV105" s="97">
        <f>SUM(AR105:AU105)</f>
        <v>2298.540389179072</v>
      </c>
    </row>
    <row r="106" spans="1:48" outlineLevel="1" x14ac:dyDescent="0.3">
      <c r="B106" s="46" t="s">
        <v>125</v>
      </c>
      <c r="C106" s="44"/>
      <c r="D106" s="157">
        <f t="shared" ref="D106:G106" si="345">+D105/D92</f>
        <v>0.15292553191489355</v>
      </c>
      <c r="E106" s="157">
        <f t="shared" si="345"/>
        <v>0.1319471688243756</v>
      </c>
      <c r="F106" s="157">
        <f t="shared" si="345"/>
        <v>0.17044092600769556</v>
      </c>
      <c r="G106" s="157">
        <f t="shared" si="345"/>
        <v>0.16710132943196987</v>
      </c>
      <c r="H106" s="133">
        <f>H105/H92</f>
        <v>0.15582800284292814</v>
      </c>
      <c r="I106" s="157">
        <f t="shared" ref="I106:L106" si="346">+I105/I92</f>
        <v>0.17560944561135511</v>
      </c>
      <c r="J106" s="157">
        <f t="shared" si="346"/>
        <v>-1.3573065397496956E-2</v>
      </c>
      <c r="K106" s="157">
        <f t="shared" si="346"/>
        <v>-9.0564448188710761E-2</v>
      </c>
      <c r="L106" s="157">
        <f t="shared" si="346"/>
        <v>0.12022761860649757</v>
      </c>
      <c r="M106" s="133">
        <f>M105/M92</f>
        <v>6.8942825068710564E-2</v>
      </c>
      <c r="N106" s="157">
        <f t="shared" ref="N106:Q106" si="347">+N105/N92</f>
        <v>0.16611255515928189</v>
      </c>
      <c r="O106" s="157">
        <f t="shared" si="347"/>
        <v>0.1561239058911168</v>
      </c>
      <c r="P106" s="157">
        <f t="shared" si="347"/>
        <v>0.19193198263386396</v>
      </c>
      <c r="Q106" s="157">
        <f t="shared" si="347"/>
        <v>0.19711689125665932</v>
      </c>
      <c r="R106" s="98">
        <f>R105/R92</f>
        <v>0.17870199760170807</v>
      </c>
      <c r="S106" s="75">
        <f t="shared" ref="S106:V106" si="348">+S105/S92</f>
        <v>0.15971000586385195</v>
      </c>
      <c r="T106" s="75">
        <f t="shared" si="348"/>
        <v>0.1061442669172933</v>
      </c>
      <c r="U106" s="75">
        <f t="shared" si="348"/>
        <v>8.5378936076228998E-2</v>
      </c>
      <c r="V106" s="75">
        <f t="shared" si="348"/>
        <v>0.13387877223160949</v>
      </c>
      <c r="W106" s="98">
        <f>W105/W92</f>
        <v>0.12305571673518267</v>
      </c>
      <c r="X106" s="75">
        <f t="shared" ref="X106:AA106" si="349">+X105/X92</f>
        <v>0.14669471428130765</v>
      </c>
      <c r="Y106" s="75">
        <f t="shared" si="349"/>
        <v>0.14463715262138446</v>
      </c>
      <c r="Z106" s="75">
        <f t="shared" si="349"/>
        <v>0.11075391872809669</v>
      </c>
      <c r="AA106" s="75">
        <f t="shared" si="349"/>
        <v>0.15490684555500031</v>
      </c>
      <c r="AB106" s="98">
        <f>AB105/AB92</f>
        <v>0.13949967660470688</v>
      </c>
      <c r="AC106" s="75">
        <f t="shared" ref="AC106:AF106" si="350">+AC105/AC92</f>
        <v>0.16297337820227911</v>
      </c>
      <c r="AD106" s="75">
        <f t="shared" si="350"/>
        <v>0.17856646641495785</v>
      </c>
      <c r="AE106" s="75">
        <f t="shared" si="350"/>
        <v>0.11482221948471741</v>
      </c>
      <c r="AF106" s="75">
        <f t="shared" si="350"/>
        <v>0.15509135419681791</v>
      </c>
      <c r="AG106" s="98">
        <f>AG105/AG92</f>
        <v>0.15217297496617554</v>
      </c>
      <c r="AH106" s="75">
        <f t="shared" ref="AH106:AK106" si="351">+AH105/AH92</f>
        <v>0.1717756878052695</v>
      </c>
      <c r="AI106" s="75">
        <f t="shared" si="351"/>
        <v>0.18796419768206549</v>
      </c>
      <c r="AJ106" s="75">
        <f t="shared" si="351"/>
        <v>0.14928701085588808</v>
      </c>
      <c r="AK106" s="75">
        <f t="shared" si="351"/>
        <v>0.16463427530140007</v>
      </c>
      <c r="AL106" s="98">
        <f>AL105/AL92</f>
        <v>0.16771138459819038</v>
      </c>
      <c r="AM106" s="75">
        <f t="shared" ref="AM106:AP106" si="352">+AM105/AM92</f>
        <v>0.17346973976253277</v>
      </c>
      <c r="AN106" s="75">
        <f t="shared" si="352"/>
        <v>0.1889387810128797</v>
      </c>
      <c r="AO106" s="75">
        <f t="shared" si="352"/>
        <v>0.148757205146792</v>
      </c>
      <c r="AP106" s="75">
        <f t="shared" si="352"/>
        <v>0.16357248528485543</v>
      </c>
      <c r="AQ106" s="98">
        <f>AQ105/AQ92</f>
        <v>0.16802984913017649</v>
      </c>
      <c r="AR106" s="75">
        <f t="shared" ref="AR106:AU106" si="353">+AR105/AR92</f>
        <v>0.17090620870308393</v>
      </c>
      <c r="AS106" s="75">
        <f t="shared" si="353"/>
        <v>0.18616811508301898</v>
      </c>
      <c r="AT106" s="75">
        <f t="shared" si="353"/>
        <v>0.14583742157373894</v>
      </c>
      <c r="AU106" s="75">
        <f t="shared" si="353"/>
        <v>0.16126906885011572</v>
      </c>
      <c r="AV106" s="98">
        <f>AV105/AV92</f>
        <v>0.16541097839626198</v>
      </c>
    </row>
    <row r="107" spans="1:48" ht="17.399999999999999" x14ac:dyDescent="0.45">
      <c r="B107" s="433" t="s">
        <v>51</v>
      </c>
      <c r="C107" s="434"/>
      <c r="D107" s="14" t="s">
        <v>19</v>
      </c>
      <c r="E107" s="14" t="s">
        <v>81</v>
      </c>
      <c r="F107" s="14" t="s">
        <v>85</v>
      </c>
      <c r="G107" s="14" t="s">
        <v>95</v>
      </c>
      <c r="H107" s="40" t="s">
        <v>96</v>
      </c>
      <c r="I107" s="14" t="s">
        <v>97</v>
      </c>
      <c r="J107" s="14" t="s">
        <v>98</v>
      </c>
      <c r="K107" s="14" t="s">
        <v>99</v>
      </c>
      <c r="L107" s="14" t="s">
        <v>142</v>
      </c>
      <c r="M107" s="40" t="s">
        <v>143</v>
      </c>
      <c r="N107" s="14" t="s">
        <v>149</v>
      </c>
      <c r="O107" s="14" t="s">
        <v>157</v>
      </c>
      <c r="P107" s="14" t="s">
        <v>159</v>
      </c>
      <c r="Q107" s="14" t="s">
        <v>172</v>
      </c>
      <c r="R107" s="40" t="s">
        <v>173</v>
      </c>
      <c r="S107" s="14" t="s">
        <v>188</v>
      </c>
      <c r="T107" s="14" t="s">
        <v>189</v>
      </c>
      <c r="U107" s="14" t="s">
        <v>204</v>
      </c>
      <c r="V107" s="12" t="s">
        <v>25</v>
      </c>
      <c r="W107" s="42" t="s">
        <v>26</v>
      </c>
      <c r="X107" s="12" t="s">
        <v>27</v>
      </c>
      <c r="Y107" s="12" t="s">
        <v>28</v>
      </c>
      <c r="Z107" s="12" t="s">
        <v>29</v>
      </c>
      <c r="AA107" s="12" t="s">
        <v>30</v>
      </c>
      <c r="AB107" s="42" t="s">
        <v>31</v>
      </c>
      <c r="AC107" s="12" t="s">
        <v>90</v>
      </c>
      <c r="AD107" s="12" t="s">
        <v>91</v>
      </c>
      <c r="AE107" s="12" t="s">
        <v>92</v>
      </c>
      <c r="AF107" s="12" t="s">
        <v>93</v>
      </c>
      <c r="AG107" s="42" t="s">
        <v>94</v>
      </c>
      <c r="AH107" s="12" t="s">
        <v>109</v>
      </c>
      <c r="AI107" s="12" t="s">
        <v>110</v>
      </c>
      <c r="AJ107" s="12" t="s">
        <v>111</v>
      </c>
      <c r="AK107" s="12" t="s">
        <v>112</v>
      </c>
      <c r="AL107" s="42" t="s">
        <v>113</v>
      </c>
      <c r="AM107" s="12" t="s">
        <v>164</v>
      </c>
      <c r="AN107" s="12" t="s">
        <v>165</v>
      </c>
      <c r="AO107" s="12" t="s">
        <v>166</v>
      </c>
      <c r="AP107" s="12" t="s">
        <v>167</v>
      </c>
      <c r="AQ107" s="42" t="s">
        <v>168</v>
      </c>
      <c r="AR107" s="12" t="s">
        <v>195</v>
      </c>
      <c r="AS107" s="12" t="s">
        <v>196</v>
      </c>
      <c r="AT107" s="12" t="s">
        <v>197</v>
      </c>
      <c r="AU107" s="12" t="s">
        <v>198</v>
      </c>
      <c r="AV107" s="42" t="s">
        <v>199</v>
      </c>
    </row>
    <row r="108" spans="1:48" s="8" customFormat="1" outlineLevel="1" x14ac:dyDescent="0.3">
      <c r="B108" s="445" t="s">
        <v>126</v>
      </c>
      <c r="C108" s="446"/>
      <c r="D108" s="50">
        <v>504.6</v>
      </c>
      <c r="E108" s="50">
        <v>446.6</v>
      </c>
      <c r="F108" s="103">
        <v>533.29999999999995</v>
      </c>
      <c r="G108" s="50">
        <v>508.1</v>
      </c>
      <c r="H108" s="31">
        <f>SUM(D108:G108)</f>
        <v>1992.6</v>
      </c>
      <c r="I108" s="50">
        <v>494.6</v>
      </c>
      <c r="J108" s="50">
        <v>519.1</v>
      </c>
      <c r="K108" s="50">
        <v>447.3</v>
      </c>
      <c r="L108" s="50">
        <v>464</v>
      </c>
      <c r="M108" s="31">
        <f>SUM(I108:L108)</f>
        <v>1925</v>
      </c>
      <c r="N108" s="50">
        <v>371.4</v>
      </c>
      <c r="O108" s="50">
        <v>369.9</v>
      </c>
      <c r="P108" s="50">
        <v>414</v>
      </c>
      <c r="Q108" s="103">
        <v>438.3</v>
      </c>
      <c r="R108" s="126">
        <f>SUM(N108:Q108)</f>
        <v>1593.6</v>
      </c>
      <c r="S108" s="50">
        <v>417.1</v>
      </c>
      <c r="T108" s="50">
        <v>463.1</v>
      </c>
      <c r="U108" s="50">
        <v>479.7</v>
      </c>
      <c r="V108" s="50">
        <f t="shared" ref="V108" si="354">+Q108*(1+V109)</f>
        <v>482.13000000000005</v>
      </c>
      <c r="W108" s="31">
        <f>SUM(S108:V108)</f>
        <v>1842.0300000000002</v>
      </c>
      <c r="X108" s="50">
        <f>+S108*(1+X109)</f>
        <v>458.81000000000006</v>
      </c>
      <c r="Y108" s="50">
        <f>+T108*(1+Y109)</f>
        <v>481.62400000000002</v>
      </c>
      <c r="Z108" s="50">
        <f>+U108*(1+Z109)</f>
        <v>498.88800000000003</v>
      </c>
      <c r="AA108" s="50">
        <f t="shared" ref="AA108" si="355">+V108*(1+AA109)</f>
        <v>501.41520000000008</v>
      </c>
      <c r="AB108" s="31">
        <f>SUM(X108:AA108)</f>
        <v>1940.7372000000003</v>
      </c>
      <c r="AC108" s="50">
        <f>+X108*(1+AC109)</f>
        <v>477.1624000000001</v>
      </c>
      <c r="AD108" s="50">
        <f>+Y108*(1+AD109)</f>
        <v>500.88896000000005</v>
      </c>
      <c r="AE108" s="50">
        <f>+Z108*(1+AE109)</f>
        <v>518.84352000000001</v>
      </c>
      <c r="AF108" s="50">
        <f t="shared" ref="AF108" si="356">+AA108*(1+AF109)</f>
        <v>521.47180800000012</v>
      </c>
      <c r="AG108" s="31">
        <f>SUM(AC108:AF108)</f>
        <v>2018.3666880000005</v>
      </c>
      <c r="AH108" s="50">
        <f>+AC108*(1+AH109)</f>
        <v>496.24889600000012</v>
      </c>
      <c r="AI108" s="50">
        <f>+AD108*(1+AI109)</f>
        <v>520.92451840000012</v>
      </c>
      <c r="AJ108" s="50">
        <f>+AE108*(1+AJ109)</f>
        <v>539.59726080000007</v>
      </c>
      <c r="AK108" s="50">
        <f t="shared" ref="AK108" si="357">+AF108*(1+AK109)</f>
        <v>542.33068032000017</v>
      </c>
      <c r="AL108" s="31">
        <f>SUM(AH108:AK108)</f>
        <v>2099.1013555200007</v>
      </c>
      <c r="AM108" s="50">
        <f>+AH108*(1+AM109)</f>
        <v>516.09885184000018</v>
      </c>
      <c r="AN108" s="50">
        <f>+AI108*(1+AN109)</f>
        <v>541.76149913600011</v>
      </c>
      <c r="AO108" s="50">
        <f>+AJ108*(1+AO109)</f>
        <v>561.18115123200005</v>
      </c>
      <c r="AP108" s="50">
        <f t="shared" ref="AP108" si="358">+AK108*(1+AP109)</f>
        <v>564.02390753280019</v>
      </c>
      <c r="AQ108" s="31">
        <f>SUM(AM108:AP108)</f>
        <v>2183.0654097408005</v>
      </c>
      <c r="AR108" s="50">
        <f>+AM108*(1+AR109)</f>
        <v>536.74280591360025</v>
      </c>
      <c r="AS108" s="50">
        <f>+AN108*(1+AS109)</f>
        <v>563.43195910144016</v>
      </c>
      <c r="AT108" s="50">
        <f>+AO108*(1+AT109)</f>
        <v>583.62839728128006</v>
      </c>
      <c r="AU108" s="50">
        <f t="shared" ref="AU108" si="359">+AP108*(1+AU109)</f>
        <v>586.58486383411218</v>
      </c>
      <c r="AV108" s="31">
        <f>SUM(AR108:AU108)</f>
        <v>2270.388026130433</v>
      </c>
    </row>
    <row r="109" spans="1:48" outlineLevel="1" x14ac:dyDescent="0.3">
      <c r="B109" s="69" t="s">
        <v>58</v>
      </c>
      <c r="C109" s="70"/>
      <c r="D109" s="120"/>
      <c r="E109" s="120"/>
      <c r="F109" s="120"/>
      <c r="G109" s="120"/>
      <c r="H109" s="58"/>
      <c r="I109" s="120">
        <f>I108/D108-1</f>
        <v>-1.9817677368212494E-2</v>
      </c>
      <c r="J109" s="120">
        <f t="shared" ref="J109" si="360">J108/E108-1</f>
        <v>0.16233766233766223</v>
      </c>
      <c r="K109" s="120">
        <f>K108/F108-1</f>
        <v>-0.1612600787549221</v>
      </c>
      <c r="L109" s="120">
        <f>L108/G108-1</f>
        <v>-8.6793938201141563E-2</v>
      </c>
      <c r="M109" s="168">
        <f>M108/H108-1</f>
        <v>-3.3925524440429511E-2</v>
      </c>
      <c r="N109" s="120">
        <f>N108/I108-1</f>
        <v>-0.24909017387788124</v>
      </c>
      <c r="O109" s="120">
        <f t="shared" ref="O109" si="361">O108/J108-1</f>
        <v>-0.28742053554228475</v>
      </c>
      <c r="P109" s="120">
        <f>P108/K108-1</f>
        <v>-7.4446680080482941E-2</v>
      </c>
      <c r="Q109" s="120">
        <f>Q108/L108-1</f>
        <v>-5.5387931034482696E-2</v>
      </c>
      <c r="R109" s="168">
        <f>R108/M108-1</f>
        <v>-0.17215584415584417</v>
      </c>
      <c r="S109" s="120">
        <f>S108/N108-1</f>
        <v>0.12304792676359733</v>
      </c>
      <c r="T109" s="120">
        <f t="shared" ref="T109:U109" si="362">T108/O108-1</f>
        <v>0.25195998918626672</v>
      </c>
      <c r="U109" s="120">
        <f t="shared" si="362"/>
        <v>0.15869565217391313</v>
      </c>
      <c r="V109" s="197">
        <v>0.1</v>
      </c>
      <c r="W109" s="168">
        <f>W108/R108-1</f>
        <v>0.15589231927710867</v>
      </c>
      <c r="X109" s="197">
        <v>0.1</v>
      </c>
      <c r="Y109" s="197">
        <v>0.04</v>
      </c>
      <c r="Z109" s="197">
        <v>0.04</v>
      </c>
      <c r="AA109" s="197">
        <v>0.04</v>
      </c>
      <c r="AB109" s="168">
        <f>AB108/W108-1</f>
        <v>5.3586097946287436E-2</v>
      </c>
      <c r="AC109" s="197">
        <v>0.04</v>
      </c>
      <c r="AD109" s="197">
        <v>0.04</v>
      </c>
      <c r="AE109" s="197">
        <v>0.04</v>
      </c>
      <c r="AF109" s="197">
        <v>0.04</v>
      </c>
      <c r="AG109" s="168">
        <f>AG108/AB108-1</f>
        <v>4.0000000000000036E-2</v>
      </c>
      <c r="AH109" s="197">
        <v>0.04</v>
      </c>
      <c r="AI109" s="197">
        <v>0.04</v>
      </c>
      <c r="AJ109" s="197">
        <v>0.04</v>
      </c>
      <c r="AK109" s="197">
        <v>0.04</v>
      </c>
      <c r="AL109" s="168">
        <f>AL108/AG108-1</f>
        <v>4.0000000000000036E-2</v>
      </c>
      <c r="AM109" s="197">
        <v>0.04</v>
      </c>
      <c r="AN109" s="197">
        <v>0.04</v>
      </c>
      <c r="AO109" s="197">
        <v>0.04</v>
      </c>
      <c r="AP109" s="197">
        <v>0.04</v>
      </c>
      <c r="AQ109" s="168">
        <f>AQ108/AL108-1</f>
        <v>4.0000000000000036E-2</v>
      </c>
      <c r="AR109" s="197">
        <v>0.04</v>
      </c>
      <c r="AS109" s="197">
        <v>0.04</v>
      </c>
      <c r="AT109" s="197">
        <v>0.04</v>
      </c>
      <c r="AU109" s="197">
        <v>0.04</v>
      </c>
      <c r="AV109" s="168">
        <f>AV108/AQ108-1</f>
        <v>4.0000000000000258E-2</v>
      </c>
    </row>
    <row r="110" spans="1:48" outlineLevel="1" x14ac:dyDescent="0.3">
      <c r="B110" s="443" t="s">
        <v>100</v>
      </c>
      <c r="C110" s="444"/>
      <c r="D110" s="48">
        <v>348.4</v>
      </c>
      <c r="E110" s="48">
        <v>305.39999999999998</v>
      </c>
      <c r="F110" s="48">
        <v>377.1</v>
      </c>
      <c r="G110" s="48">
        <v>359.1</v>
      </c>
      <c r="H110" s="76">
        <f>SUM(D110:G110)</f>
        <v>1390</v>
      </c>
      <c r="I110" s="48">
        <v>338.8</v>
      </c>
      <c r="J110" s="48">
        <v>351.6</v>
      </c>
      <c r="K110" s="48">
        <v>319.89999999999998</v>
      </c>
      <c r="L110" s="48">
        <v>327.8</v>
      </c>
      <c r="M110" s="76">
        <f>SUM(I110:L110)</f>
        <v>1338.1000000000001</v>
      </c>
      <c r="N110" s="48">
        <v>233.5</v>
      </c>
      <c r="O110" s="48">
        <v>231.9</v>
      </c>
      <c r="P110" s="48">
        <v>268.3</v>
      </c>
      <c r="Q110" s="105">
        <v>277.5</v>
      </c>
      <c r="R110" s="76">
        <f>SUM(N110:Q110)</f>
        <v>1011.2</v>
      </c>
      <c r="S110" s="48">
        <v>258.8</v>
      </c>
      <c r="T110" s="48">
        <v>300.5</v>
      </c>
      <c r="U110" s="48">
        <v>325.8</v>
      </c>
      <c r="V110" s="48">
        <f t="shared" ref="V110" si="363">V111*V108</f>
        <v>319.71390000000002</v>
      </c>
      <c r="W110" s="76">
        <f>SUM(S110:V110)</f>
        <v>1204.8138999999999</v>
      </c>
      <c r="X110" s="48">
        <f t="shared" ref="X110:AA110" si="364">X111*X108</f>
        <v>291.56215000000003</v>
      </c>
      <c r="Y110" s="48">
        <f t="shared" si="364"/>
        <v>312.52</v>
      </c>
      <c r="Z110" s="48">
        <f t="shared" si="364"/>
        <v>336.33756000000005</v>
      </c>
      <c r="AA110" s="48">
        <f t="shared" si="364"/>
        <v>317.46000000000004</v>
      </c>
      <c r="AB110" s="76">
        <f>SUM(X110:AA110)</f>
        <v>1257.8797100000002</v>
      </c>
      <c r="AC110" s="48">
        <f t="shared" ref="AC110:AF110" si="365">AC111*AC108</f>
        <v>303.22463600000009</v>
      </c>
      <c r="AD110" s="48">
        <f t="shared" si="365"/>
        <v>325.02080000000001</v>
      </c>
      <c r="AE110" s="48">
        <f t="shared" si="365"/>
        <v>339.41419200000001</v>
      </c>
      <c r="AF110" s="48">
        <f t="shared" si="365"/>
        <v>330.15840000000003</v>
      </c>
      <c r="AG110" s="76">
        <f>SUM(AC110:AF110)</f>
        <v>1297.8180280000001</v>
      </c>
      <c r="AH110" s="48">
        <f t="shared" ref="AH110:AK110" si="366">AH111*AH108</f>
        <v>315.3536214400001</v>
      </c>
      <c r="AI110" s="48">
        <f t="shared" si="366"/>
        <v>338.02163200000007</v>
      </c>
      <c r="AJ110" s="48">
        <f t="shared" si="366"/>
        <v>347.59478707200009</v>
      </c>
      <c r="AK110" s="48">
        <f t="shared" si="366"/>
        <v>343.36473600000005</v>
      </c>
      <c r="AL110" s="76">
        <f>SUM(AH110:AK110)</f>
        <v>1344.3347765120002</v>
      </c>
      <c r="AM110" s="48">
        <f t="shared" ref="AM110:AP110" si="367">AM111*AM108</f>
        <v>327.96776629760012</v>
      </c>
      <c r="AN110" s="48">
        <f t="shared" si="367"/>
        <v>351.54249728000008</v>
      </c>
      <c r="AO110" s="48">
        <f t="shared" si="367"/>
        <v>361.49857855488005</v>
      </c>
      <c r="AP110" s="48">
        <f t="shared" si="367"/>
        <v>357.09932544000009</v>
      </c>
      <c r="AQ110" s="76">
        <f>SUM(AM110:AP110)</f>
        <v>1398.1081675724804</v>
      </c>
      <c r="AR110" s="48">
        <f t="shared" ref="AR110:AU110" si="368">AR111*AR108</f>
        <v>341.08647694950417</v>
      </c>
      <c r="AS110" s="48">
        <f t="shared" si="368"/>
        <v>365.6041971712001</v>
      </c>
      <c r="AT110" s="48">
        <f t="shared" si="368"/>
        <v>375.95852169707524</v>
      </c>
      <c r="AU110" s="48">
        <f t="shared" si="368"/>
        <v>371.38329845760006</v>
      </c>
      <c r="AV110" s="76">
        <f>SUM(AR110:AU110)</f>
        <v>1454.0324942753796</v>
      </c>
    </row>
    <row r="111" spans="1:48" s="183" customFormat="1" outlineLevel="1" x14ac:dyDescent="0.3">
      <c r="A111" s="238"/>
      <c r="B111" s="181" t="s">
        <v>151</v>
      </c>
      <c r="C111" s="182"/>
      <c r="D111" s="167">
        <f>D110/D108</f>
        <v>0.69044787950852149</v>
      </c>
      <c r="E111" s="167">
        <f t="shared" ref="E111:U111" si="369">E110/E108</f>
        <v>0.68383340797133896</v>
      </c>
      <c r="F111" s="167">
        <f t="shared" si="369"/>
        <v>0.70710669416838567</v>
      </c>
      <c r="G111" s="167">
        <f t="shared" si="369"/>
        <v>0.70675063963786655</v>
      </c>
      <c r="H111" s="188">
        <f t="shared" si="369"/>
        <v>0.69758104988457292</v>
      </c>
      <c r="I111" s="167">
        <f t="shared" si="369"/>
        <v>0.68499797816417307</v>
      </c>
      <c r="J111" s="167">
        <f t="shared" si="369"/>
        <v>0.6773261413985745</v>
      </c>
      <c r="K111" s="167">
        <f t="shared" si="369"/>
        <v>0.71517996870109535</v>
      </c>
      <c r="L111" s="187">
        <f t="shared" si="369"/>
        <v>0.70646551724137929</v>
      </c>
      <c r="M111" s="188">
        <f t="shared" si="369"/>
        <v>0.69511688311688313</v>
      </c>
      <c r="N111" s="187">
        <f t="shared" si="369"/>
        <v>0.62870220786214326</v>
      </c>
      <c r="O111" s="167">
        <f t="shared" si="369"/>
        <v>0.62692619626926205</v>
      </c>
      <c r="P111" s="167">
        <f t="shared" si="369"/>
        <v>0.6480676328502416</v>
      </c>
      <c r="Q111" s="167">
        <f t="shared" si="369"/>
        <v>0.63312799452429835</v>
      </c>
      <c r="R111" s="188">
        <f t="shared" si="369"/>
        <v>0.63453815261044189</v>
      </c>
      <c r="S111" s="187">
        <f t="shared" si="369"/>
        <v>0.62047470630544233</v>
      </c>
      <c r="T111" s="167">
        <f t="shared" si="369"/>
        <v>0.64888792917296478</v>
      </c>
      <c r="U111" s="167">
        <f t="shared" si="369"/>
        <v>0.67917448405253289</v>
      </c>
      <c r="V111" s="189">
        <f>Q111+3%</f>
        <v>0.66312799452429838</v>
      </c>
      <c r="W111" s="188">
        <f t="shared" ref="W111" si="370">W110/W108</f>
        <v>0.65406855480095316</v>
      </c>
      <c r="X111" s="189">
        <f>S111+1.5%</f>
        <v>0.63547470630544234</v>
      </c>
      <c r="Y111" s="189">
        <f t="shared" ref="Y111" si="371">T111</f>
        <v>0.64888792917296478</v>
      </c>
      <c r="Z111" s="189">
        <f>U111-0.5%</f>
        <v>0.67417448405253289</v>
      </c>
      <c r="AA111" s="189">
        <f>V111-3%</f>
        <v>0.63312799452429835</v>
      </c>
      <c r="AB111" s="188">
        <f t="shared" ref="AB111" si="372">AB110/AB108</f>
        <v>0.64814530787579072</v>
      </c>
      <c r="AC111" s="189">
        <f t="shared" ref="AC111:AD111" si="373">X111</f>
        <v>0.63547470630544234</v>
      </c>
      <c r="AD111" s="189">
        <f t="shared" si="373"/>
        <v>0.64888792917296478</v>
      </c>
      <c r="AE111" s="189">
        <f>Z111-2%</f>
        <v>0.65417448405253287</v>
      </c>
      <c r="AF111" s="189">
        <f t="shared" ref="AF111" si="374">AA111</f>
        <v>0.63312799452429835</v>
      </c>
      <c r="AG111" s="188">
        <f t="shared" ref="AG111" si="375">AG110/AG108</f>
        <v>0.64300408628226424</v>
      </c>
      <c r="AH111" s="189">
        <f t="shared" ref="AH111:AI111" si="376">AC111</f>
        <v>0.63547470630544234</v>
      </c>
      <c r="AI111" s="189">
        <f t="shared" si="376"/>
        <v>0.64888792917296478</v>
      </c>
      <c r="AJ111" s="189">
        <f>AE111-1%</f>
        <v>0.64417448405253286</v>
      </c>
      <c r="AK111" s="189">
        <f t="shared" ref="AK111" si="377">AF111</f>
        <v>0.63312799452429835</v>
      </c>
      <c r="AL111" s="188">
        <f t="shared" ref="AL111" si="378">AL110/AL108</f>
        <v>0.640433475485501</v>
      </c>
      <c r="AM111" s="189">
        <f t="shared" ref="AM111:AP111" si="379">AH111</f>
        <v>0.63547470630544234</v>
      </c>
      <c r="AN111" s="189">
        <f t="shared" si="379"/>
        <v>0.64888792917296478</v>
      </c>
      <c r="AO111" s="189">
        <f t="shared" si="379"/>
        <v>0.64417448405253286</v>
      </c>
      <c r="AP111" s="189">
        <f t="shared" si="379"/>
        <v>0.63312799452429835</v>
      </c>
      <c r="AQ111" s="188">
        <f t="shared" ref="AQ111" si="380">AQ110/AQ108</f>
        <v>0.64043347548550111</v>
      </c>
      <c r="AR111" s="189">
        <f t="shared" ref="AR111:AU111" si="381">AM111</f>
        <v>0.63547470630544234</v>
      </c>
      <c r="AS111" s="189">
        <f t="shared" si="381"/>
        <v>0.64888792917296478</v>
      </c>
      <c r="AT111" s="189">
        <f t="shared" si="381"/>
        <v>0.64417448405253286</v>
      </c>
      <c r="AU111" s="189">
        <f t="shared" si="381"/>
        <v>0.63312799452429835</v>
      </c>
      <c r="AV111" s="188">
        <f t="shared" ref="AV111" si="382">AV110/AV108</f>
        <v>0.640433475485501</v>
      </c>
    </row>
    <row r="112" spans="1:48" outlineLevel="1" x14ac:dyDescent="0.3">
      <c r="B112" s="180" t="s">
        <v>33</v>
      </c>
      <c r="C112" s="18"/>
      <c r="D112" s="48">
        <v>18.600000000000001</v>
      </c>
      <c r="E112" s="48">
        <v>17.100000000000001</v>
      </c>
      <c r="F112" s="48">
        <v>20.2</v>
      </c>
      <c r="G112" s="48">
        <v>20.3</v>
      </c>
      <c r="H112" s="49">
        <f>SUM(D112:G112)</f>
        <v>76.2</v>
      </c>
      <c r="I112" s="48">
        <v>20.6</v>
      </c>
      <c r="J112" s="48">
        <v>17.7</v>
      </c>
      <c r="K112" s="48">
        <v>51.4</v>
      </c>
      <c r="L112" s="48">
        <v>18.5</v>
      </c>
      <c r="M112" s="49">
        <f>SUM(I112:L112)</f>
        <v>108.19999999999999</v>
      </c>
      <c r="N112" s="48">
        <v>11.1</v>
      </c>
      <c r="O112" s="48">
        <v>13.1</v>
      </c>
      <c r="P112" s="48">
        <v>-9.9</v>
      </c>
      <c r="Q112" s="105">
        <v>17</v>
      </c>
      <c r="R112" s="49">
        <f>SUM(N112:Q112)</f>
        <v>31.299999999999997</v>
      </c>
      <c r="S112" s="48">
        <v>11.4</v>
      </c>
      <c r="T112" s="48">
        <v>10.7</v>
      </c>
      <c r="U112" s="48">
        <v>13.6</v>
      </c>
      <c r="V112" s="48">
        <f t="shared" ref="V112" si="383">V113*V108</f>
        <v>37.985200000000006</v>
      </c>
      <c r="W112" s="49">
        <f>SUM(S112:V112)</f>
        <v>73.685200000000009</v>
      </c>
      <c r="X112" s="48">
        <f t="shared" ref="X112:AA112" si="384">X113*X108</f>
        <v>21.716200000000004</v>
      </c>
      <c r="Y112" s="48">
        <f t="shared" si="384"/>
        <v>11.128</v>
      </c>
      <c r="Z112" s="48">
        <f t="shared" si="384"/>
        <v>11.649560000000001</v>
      </c>
      <c r="AA112" s="48">
        <f t="shared" si="384"/>
        <v>24.462152000000007</v>
      </c>
      <c r="AB112" s="49">
        <f>SUM(X112:AA112)</f>
        <v>68.955912000000012</v>
      </c>
      <c r="AC112" s="48">
        <f t="shared" ref="AC112:AF112" si="385">AC113*AC108</f>
        <v>13.041600000000003</v>
      </c>
      <c r="AD112" s="48">
        <f t="shared" si="385"/>
        <v>11.573120000000001</v>
      </c>
      <c r="AE112" s="48">
        <f t="shared" si="385"/>
        <v>12.115542399999999</v>
      </c>
      <c r="AF112" s="48">
        <f t="shared" si="385"/>
        <v>15.011201920000005</v>
      </c>
      <c r="AG112" s="49">
        <f>SUM(AC112:AF112)</f>
        <v>51.741464320000006</v>
      </c>
      <c r="AH112" s="48">
        <f t="shared" ref="AH112:AK112" si="386">AH113*AH108</f>
        <v>12.074517312000003</v>
      </c>
      <c r="AI112" s="48">
        <f t="shared" si="386"/>
        <v>12.036044800000003</v>
      </c>
      <c r="AJ112" s="48">
        <f t="shared" si="386"/>
        <v>12.600164096</v>
      </c>
      <c r="AK112" s="48">
        <f t="shared" si="386"/>
        <v>13.442327275520006</v>
      </c>
      <c r="AL112" s="49">
        <f>SUM(AH112:AK112)</f>
        <v>50.153053483520011</v>
      </c>
      <c r="AM112" s="48">
        <f t="shared" ref="AM112:AP112" si="387">AM113*AM108</f>
        <v>12.557498004480005</v>
      </c>
      <c r="AN112" s="48">
        <f t="shared" si="387"/>
        <v>12.517486592000003</v>
      </c>
      <c r="AO112" s="48">
        <f t="shared" si="387"/>
        <v>13.104170659840001</v>
      </c>
      <c r="AP112" s="48">
        <f t="shared" si="387"/>
        <v>13.980020366540806</v>
      </c>
      <c r="AQ112" s="49">
        <f>SUM(AM112:AP112)</f>
        <v>52.159175622860815</v>
      </c>
      <c r="AR112" s="48">
        <f t="shared" ref="AR112:AU112" si="388">AR113*AR108</f>
        <v>13.059797924659206</v>
      </c>
      <c r="AS112" s="48">
        <f t="shared" si="388"/>
        <v>13.018186055680003</v>
      </c>
      <c r="AT112" s="48">
        <f t="shared" si="388"/>
        <v>13.628337486233601</v>
      </c>
      <c r="AU112" s="48">
        <f t="shared" si="388"/>
        <v>14.539221181202437</v>
      </c>
      <c r="AV112" s="49">
        <f>SUM(AR112:AU112)</f>
        <v>54.245542647775245</v>
      </c>
    </row>
    <row r="113" spans="2:48" s="184" customFormat="1" outlineLevel="1" x14ac:dyDescent="0.3">
      <c r="B113" s="181" t="s">
        <v>154</v>
      </c>
      <c r="C113" s="190"/>
      <c r="D113" s="187">
        <f>D112/D108</f>
        <v>3.6860879904875153E-2</v>
      </c>
      <c r="E113" s="187">
        <f t="shared" ref="E113:U113" si="389">E112/E108</f>
        <v>3.8289296909986566E-2</v>
      </c>
      <c r="F113" s="187">
        <f t="shared" si="389"/>
        <v>3.7877367335458469E-2</v>
      </c>
      <c r="G113" s="187">
        <f t="shared" si="389"/>
        <v>3.9952765203700058E-2</v>
      </c>
      <c r="H113" s="188">
        <f t="shared" si="389"/>
        <v>3.8241493526046375E-2</v>
      </c>
      <c r="I113" s="187">
        <f t="shared" si="389"/>
        <v>4.1649818034775576E-2</v>
      </c>
      <c r="J113" s="187">
        <f t="shared" si="389"/>
        <v>3.4097476401464072E-2</v>
      </c>
      <c r="K113" s="187">
        <f t="shared" si="389"/>
        <v>0.11491169237648111</v>
      </c>
      <c r="L113" s="187">
        <f t="shared" si="389"/>
        <v>3.9870689655172417E-2</v>
      </c>
      <c r="M113" s="188">
        <f t="shared" si="389"/>
        <v>5.62077922077922E-2</v>
      </c>
      <c r="N113" s="187">
        <f t="shared" si="389"/>
        <v>2.9886914378029081E-2</v>
      </c>
      <c r="O113" s="187">
        <f t="shared" si="389"/>
        <v>3.5414977020816439E-2</v>
      </c>
      <c r="P113" s="187">
        <f t="shared" si="389"/>
        <v>-2.391304347826087E-2</v>
      </c>
      <c r="Q113" s="167">
        <f t="shared" si="389"/>
        <v>3.8786219484371436E-2</v>
      </c>
      <c r="R113" s="188">
        <f t="shared" si="389"/>
        <v>1.964106425702811E-2</v>
      </c>
      <c r="S113" s="187">
        <f t="shared" si="389"/>
        <v>2.7331575161831694E-2</v>
      </c>
      <c r="T113" s="187">
        <f t="shared" si="389"/>
        <v>2.3105160872381774E-2</v>
      </c>
      <c r="U113" s="187">
        <f t="shared" si="389"/>
        <v>2.8351052741296644E-2</v>
      </c>
      <c r="V113" s="189">
        <f>Q113+4%</f>
        <v>7.8786219484371436E-2</v>
      </c>
      <c r="W113" s="188">
        <f t="shared" ref="W113" si="390">W112/W108</f>
        <v>4.0002171517293419E-2</v>
      </c>
      <c r="X113" s="189">
        <f>S113+2%</f>
        <v>4.7331575161831695E-2</v>
      </c>
      <c r="Y113" s="189">
        <f t="shared" ref="Y113" si="391">T113</f>
        <v>2.3105160872381774E-2</v>
      </c>
      <c r="Z113" s="189">
        <f>U113-0.5%</f>
        <v>2.3351052741296643E-2</v>
      </c>
      <c r="AA113" s="189">
        <f>V113-3%</f>
        <v>4.8786219484371438E-2</v>
      </c>
      <c r="AB113" s="188">
        <f t="shared" ref="AB113" si="392">AB112/AB108</f>
        <v>3.5530782838603808E-2</v>
      </c>
      <c r="AC113" s="189">
        <f>X113-2%</f>
        <v>2.7331575161831694E-2</v>
      </c>
      <c r="AD113" s="189">
        <f t="shared" ref="AD113:AE113" si="393">Y113</f>
        <v>2.3105160872381774E-2</v>
      </c>
      <c r="AE113" s="189">
        <f t="shared" si="393"/>
        <v>2.3351052741296643E-2</v>
      </c>
      <c r="AF113" s="189">
        <f>AA113-2%</f>
        <v>2.8786219484371437E-2</v>
      </c>
      <c r="AG113" s="188">
        <f t="shared" ref="AG113" si="394">AG112/AG108</f>
        <v>2.5635314250687827E-2</v>
      </c>
      <c r="AH113" s="189">
        <f>AC113-0.3%</f>
        <v>2.4331575161831695E-2</v>
      </c>
      <c r="AI113" s="189">
        <f t="shared" ref="AI113:AJ113" si="395">AD113</f>
        <v>2.3105160872381774E-2</v>
      </c>
      <c r="AJ113" s="189">
        <f t="shared" si="395"/>
        <v>2.3351052741296643E-2</v>
      </c>
      <c r="AK113" s="189">
        <f>AF113-0.4%</f>
        <v>2.4786219484371437E-2</v>
      </c>
      <c r="AL113" s="188">
        <f t="shared" ref="AL113" si="396">AL112/AL108</f>
        <v>2.3892630697242262E-2</v>
      </c>
      <c r="AM113" s="189">
        <f t="shared" ref="AM113:AP113" si="397">AH113</f>
        <v>2.4331575161831695E-2</v>
      </c>
      <c r="AN113" s="189">
        <f t="shared" si="397"/>
        <v>2.3105160872381774E-2</v>
      </c>
      <c r="AO113" s="189">
        <f t="shared" si="397"/>
        <v>2.3351052741296643E-2</v>
      </c>
      <c r="AP113" s="189">
        <f t="shared" si="397"/>
        <v>2.4786219484371437E-2</v>
      </c>
      <c r="AQ113" s="188">
        <f t="shared" ref="AQ113" si="398">AQ112/AQ108</f>
        <v>2.3892630697242265E-2</v>
      </c>
      <c r="AR113" s="189">
        <f t="shared" ref="AR113:AU113" si="399">AM113</f>
        <v>2.4331575161831695E-2</v>
      </c>
      <c r="AS113" s="189">
        <f t="shared" si="399"/>
        <v>2.3105160872381774E-2</v>
      </c>
      <c r="AT113" s="189">
        <f t="shared" si="399"/>
        <v>2.3351052741296643E-2</v>
      </c>
      <c r="AU113" s="189">
        <f t="shared" si="399"/>
        <v>2.4786219484371437E-2</v>
      </c>
      <c r="AV113" s="188">
        <f t="shared" ref="AV113" si="400">AV112/AV108</f>
        <v>2.3892630697242258E-2</v>
      </c>
    </row>
    <row r="114" spans="2:48" outlineLevel="1" x14ac:dyDescent="0.3">
      <c r="B114" s="180" t="s">
        <v>34</v>
      </c>
      <c r="C114" s="18"/>
      <c r="D114" s="358">
        <v>0</v>
      </c>
      <c r="E114" s="358">
        <v>12.3</v>
      </c>
      <c r="F114" s="358">
        <v>0.2</v>
      </c>
      <c r="G114" s="358">
        <v>0.3</v>
      </c>
      <c r="H114" s="126">
        <f>SUM(D114:G114)</f>
        <v>12.8</v>
      </c>
      <c r="I114" s="358">
        <v>0.3</v>
      </c>
      <c r="J114" s="358">
        <v>0.3</v>
      </c>
      <c r="K114" s="358">
        <v>0.3</v>
      </c>
      <c r="L114" s="358">
        <v>0.3</v>
      </c>
      <c r="M114" s="126">
        <f>SUM(I114:L114)</f>
        <v>1.2</v>
      </c>
      <c r="N114" s="358">
        <v>0.2</v>
      </c>
      <c r="O114" s="358">
        <v>0.3</v>
      </c>
      <c r="P114" s="358">
        <v>0.2</v>
      </c>
      <c r="Q114" s="358">
        <v>0.3</v>
      </c>
      <c r="R114" s="126">
        <f>SUM(N114:Q114)</f>
        <v>1</v>
      </c>
      <c r="S114" s="358">
        <v>0</v>
      </c>
      <c r="T114" s="358">
        <v>0</v>
      </c>
      <c r="U114" s="358">
        <v>0</v>
      </c>
      <c r="V114" s="360">
        <v>0</v>
      </c>
      <c r="W114" s="126">
        <f>SUM(S114:V114)</f>
        <v>0</v>
      </c>
      <c r="X114" s="360">
        <v>0</v>
      </c>
      <c r="Y114" s="360">
        <v>0</v>
      </c>
      <c r="Z114" s="360">
        <v>0</v>
      </c>
      <c r="AA114" s="360">
        <v>0</v>
      </c>
      <c r="AB114" s="126">
        <f>SUM(X114:AA114)</f>
        <v>0</v>
      </c>
      <c r="AC114" s="360">
        <v>0</v>
      </c>
      <c r="AD114" s="360">
        <v>0</v>
      </c>
      <c r="AE114" s="360">
        <v>0</v>
      </c>
      <c r="AF114" s="360">
        <v>0</v>
      </c>
      <c r="AG114" s="126">
        <f>SUM(AC114:AF114)</f>
        <v>0</v>
      </c>
      <c r="AH114" s="360">
        <v>0</v>
      </c>
      <c r="AI114" s="360">
        <v>0</v>
      </c>
      <c r="AJ114" s="360">
        <v>0</v>
      </c>
      <c r="AK114" s="360">
        <v>0</v>
      </c>
      <c r="AL114" s="126">
        <f>SUM(AH114:AK114)</f>
        <v>0</v>
      </c>
      <c r="AM114" s="360">
        <v>0</v>
      </c>
      <c r="AN114" s="360">
        <v>0</v>
      </c>
      <c r="AO114" s="360">
        <v>0</v>
      </c>
      <c r="AP114" s="360">
        <v>0</v>
      </c>
      <c r="AQ114" s="126">
        <f>SUM(AM114:AP114)</f>
        <v>0</v>
      </c>
      <c r="AR114" s="360">
        <v>0</v>
      </c>
      <c r="AS114" s="360">
        <v>0</v>
      </c>
      <c r="AT114" s="360">
        <v>0</v>
      </c>
      <c r="AU114" s="360">
        <v>0</v>
      </c>
      <c r="AV114" s="126">
        <f>SUM(AR114:AU114)</f>
        <v>0</v>
      </c>
    </row>
    <row r="115" spans="2:48" outlineLevel="1" x14ac:dyDescent="0.3">
      <c r="B115" s="180" t="s">
        <v>35</v>
      </c>
      <c r="C115" s="18"/>
      <c r="D115" s="48">
        <v>3.2</v>
      </c>
      <c r="E115" s="48">
        <v>3.1</v>
      </c>
      <c r="F115" s="48">
        <v>2.7</v>
      </c>
      <c r="G115" s="48">
        <v>2.6</v>
      </c>
      <c r="H115" s="49">
        <f>SUM(D115:G115)</f>
        <v>11.6</v>
      </c>
      <c r="I115" s="48">
        <v>2.4</v>
      </c>
      <c r="J115" s="48">
        <v>3</v>
      </c>
      <c r="K115" s="48">
        <v>2.5</v>
      </c>
      <c r="L115" s="48">
        <v>2.5</v>
      </c>
      <c r="M115" s="49">
        <f>SUM(I115:L115)</f>
        <v>10.4</v>
      </c>
      <c r="N115" s="48">
        <v>2.2000000000000002</v>
      </c>
      <c r="O115" s="48">
        <v>2.2999999999999998</v>
      </c>
      <c r="P115" s="48">
        <v>2.9</v>
      </c>
      <c r="Q115" s="105">
        <v>3.4</v>
      </c>
      <c r="R115" s="49">
        <f>SUM(N115:Q115)</f>
        <v>10.8</v>
      </c>
      <c r="S115" s="48">
        <v>3.3</v>
      </c>
      <c r="T115" s="48">
        <v>2.5</v>
      </c>
      <c r="U115" s="48">
        <v>2.2999999999999998</v>
      </c>
      <c r="V115" s="48">
        <f t="shared" ref="V115" si="401">V116*V108</f>
        <v>3.74</v>
      </c>
      <c r="W115" s="49">
        <f>SUM(S115:V115)</f>
        <v>11.84</v>
      </c>
      <c r="X115" s="48">
        <f t="shared" ref="X115:AA115" si="402">X116*X108</f>
        <v>3.63</v>
      </c>
      <c r="Y115" s="48">
        <f t="shared" si="402"/>
        <v>2.6</v>
      </c>
      <c r="Z115" s="48">
        <f t="shared" si="402"/>
        <v>2.3920000000000003</v>
      </c>
      <c r="AA115" s="48">
        <f t="shared" si="402"/>
        <v>3.8896000000000002</v>
      </c>
      <c r="AB115" s="49">
        <f>SUM(X115:AA115)</f>
        <v>12.5116</v>
      </c>
      <c r="AC115" s="48">
        <f t="shared" ref="AC115:AF115" si="403">AC116*AC108</f>
        <v>3.7751999999999999</v>
      </c>
      <c r="AD115" s="48">
        <f t="shared" si="403"/>
        <v>2.7040000000000002</v>
      </c>
      <c r="AE115" s="48">
        <f t="shared" si="403"/>
        <v>2.4876800000000001</v>
      </c>
      <c r="AF115" s="48">
        <f t="shared" si="403"/>
        <v>4.0451840000000008</v>
      </c>
      <c r="AG115" s="49">
        <f>SUM(AC115:AF115)</f>
        <v>13.012064000000001</v>
      </c>
      <c r="AH115" s="48">
        <f t="shared" ref="AH115:AK115" si="404">AH116*AH108</f>
        <v>3.9262080000000004</v>
      </c>
      <c r="AI115" s="48">
        <f t="shared" si="404"/>
        <v>2.8121600000000004</v>
      </c>
      <c r="AJ115" s="48">
        <f t="shared" si="404"/>
        <v>2.5871872000000002</v>
      </c>
      <c r="AK115" s="48">
        <f t="shared" si="404"/>
        <v>4.2069913600000008</v>
      </c>
      <c r="AL115" s="49">
        <f>SUM(AH115:AK115)</f>
        <v>13.532546560000004</v>
      </c>
      <c r="AM115" s="48">
        <f t="shared" ref="AM115:AP115" si="405">AM116*AM108</f>
        <v>4.0832563200000003</v>
      </c>
      <c r="AN115" s="48">
        <f t="shared" si="405"/>
        <v>2.9246464000000003</v>
      </c>
      <c r="AO115" s="48">
        <f t="shared" si="405"/>
        <v>2.6906746880000001</v>
      </c>
      <c r="AP115" s="48">
        <f t="shared" si="405"/>
        <v>4.3752710144000009</v>
      </c>
      <c r="AQ115" s="49">
        <f>SUM(AM115:AP115)</f>
        <v>14.073848422400001</v>
      </c>
      <c r="AR115" s="48">
        <f t="shared" ref="AR115:AU115" si="406">AR116*AR108</f>
        <v>4.246586572800001</v>
      </c>
      <c r="AS115" s="48">
        <f t="shared" si="406"/>
        <v>3.0416322560000006</v>
      </c>
      <c r="AT115" s="48">
        <f t="shared" si="406"/>
        <v>2.7983016755200003</v>
      </c>
      <c r="AU115" s="48">
        <f t="shared" si="406"/>
        <v>4.5502818549760011</v>
      </c>
      <c r="AV115" s="49">
        <f>SUM(AR115:AU115)</f>
        <v>14.636802359296004</v>
      </c>
    </row>
    <row r="116" spans="2:48" s="184" customFormat="1" outlineLevel="1" x14ac:dyDescent="0.3">
      <c r="B116" s="181" t="s">
        <v>153</v>
      </c>
      <c r="C116" s="190"/>
      <c r="D116" s="187">
        <f>D115/D108</f>
        <v>6.3416567578279829E-3</v>
      </c>
      <c r="E116" s="187">
        <f t="shared" ref="E116:U116" si="407">E115/E108</f>
        <v>6.9413345275414241E-3</v>
      </c>
      <c r="F116" s="187">
        <f t="shared" si="407"/>
        <v>5.0628164260266275E-3</v>
      </c>
      <c r="G116" s="187">
        <f t="shared" si="407"/>
        <v>5.1171029324936033E-3</v>
      </c>
      <c r="H116" s="188">
        <f t="shared" si="407"/>
        <v>5.8215396968784505E-3</v>
      </c>
      <c r="I116" s="187">
        <f t="shared" si="407"/>
        <v>4.8524059846340476E-3</v>
      </c>
      <c r="J116" s="187">
        <f t="shared" si="407"/>
        <v>5.7792332883837404E-3</v>
      </c>
      <c r="K116" s="187">
        <f t="shared" si="407"/>
        <v>5.5890900961323492E-3</v>
      </c>
      <c r="L116" s="187">
        <f t="shared" si="407"/>
        <v>5.387931034482759E-3</v>
      </c>
      <c r="M116" s="188">
        <f t="shared" si="407"/>
        <v>5.4025974025974028E-3</v>
      </c>
      <c r="N116" s="187">
        <f t="shared" si="407"/>
        <v>5.9235325794291874E-3</v>
      </c>
      <c r="O116" s="187">
        <f t="shared" si="407"/>
        <v>6.2178967288456337E-3</v>
      </c>
      <c r="P116" s="187">
        <f t="shared" si="407"/>
        <v>7.0048309178743955E-3</v>
      </c>
      <c r="Q116" s="167">
        <f t="shared" si="407"/>
        <v>7.7572438968742862E-3</v>
      </c>
      <c r="R116" s="188">
        <f t="shared" si="407"/>
        <v>6.7771084337349408E-3</v>
      </c>
      <c r="S116" s="187">
        <f t="shared" si="407"/>
        <v>7.9117717573723313E-3</v>
      </c>
      <c r="T116" s="187">
        <f t="shared" si="407"/>
        <v>5.3984020729863956E-3</v>
      </c>
      <c r="U116" s="187">
        <f t="shared" si="407"/>
        <v>4.7946633312486971E-3</v>
      </c>
      <c r="V116" s="189">
        <f>Q116</f>
        <v>7.7572438968742862E-3</v>
      </c>
      <c r="W116" s="188">
        <f t="shared" ref="W116" si="408">W115/W108</f>
        <v>6.4276911885257021E-3</v>
      </c>
      <c r="X116" s="189">
        <f t="shared" ref="X116:AA116" si="409">S116</f>
        <v>7.9117717573723313E-3</v>
      </c>
      <c r="Y116" s="189">
        <f t="shared" si="409"/>
        <v>5.3984020729863956E-3</v>
      </c>
      <c r="Z116" s="189">
        <f t="shared" si="409"/>
        <v>4.7946633312486971E-3</v>
      </c>
      <c r="AA116" s="189">
        <f t="shared" si="409"/>
        <v>7.7572438968742862E-3</v>
      </c>
      <c r="AB116" s="188">
        <f t="shared" ref="AB116" si="410">AB115/AB108</f>
        <v>6.4468285556643105E-3</v>
      </c>
      <c r="AC116" s="189">
        <f t="shared" ref="AC116:AF116" si="411">X116</f>
        <v>7.9117717573723313E-3</v>
      </c>
      <c r="AD116" s="189">
        <f t="shared" si="411"/>
        <v>5.3984020729863956E-3</v>
      </c>
      <c r="AE116" s="189">
        <f t="shared" si="411"/>
        <v>4.7946633312486971E-3</v>
      </c>
      <c r="AF116" s="189">
        <f t="shared" si="411"/>
        <v>7.7572438968742862E-3</v>
      </c>
      <c r="AG116" s="188">
        <f t="shared" ref="AG116" si="412">AG115/AG108</f>
        <v>6.4468285556643096E-3</v>
      </c>
      <c r="AH116" s="189">
        <f t="shared" ref="AH116:AK116" si="413">AC116</f>
        <v>7.9117717573723313E-3</v>
      </c>
      <c r="AI116" s="189">
        <f t="shared" si="413"/>
        <v>5.3984020729863956E-3</v>
      </c>
      <c r="AJ116" s="189">
        <f t="shared" si="413"/>
        <v>4.7946633312486971E-3</v>
      </c>
      <c r="AK116" s="189">
        <f t="shared" si="413"/>
        <v>7.7572438968742862E-3</v>
      </c>
      <c r="AL116" s="188">
        <f t="shared" ref="AL116" si="414">AL115/AL108</f>
        <v>6.4468285556643114E-3</v>
      </c>
      <c r="AM116" s="189">
        <f t="shared" ref="AM116:AP116" si="415">AH116</f>
        <v>7.9117717573723313E-3</v>
      </c>
      <c r="AN116" s="189">
        <f t="shared" si="415"/>
        <v>5.3984020729863956E-3</v>
      </c>
      <c r="AO116" s="189">
        <f t="shared" si="415"/>
        <v>4.7946633312486971E-3</v>
      </c>
      <c r="AP116" s="189">
        <f t="shared" si="415"/>
        <v>7.7572438968742862E-3</v>
      </c>
      <c r="AQ116" s="188">
        <f t="shared" ref="AQ116" si="416">AQ115/AQ108</f>
        <v>6.4468285556643105E-3</v>
      </c>
      <c r="AR116" s="189">
        <f t="shared" ref="AR116:AU116" si="417">AM116</f>
        <v>7.9117717573723313E-3</v>
      </c>
      <c r="AS116" s="189">
        <f t="shared" si="417"/>
        <v>5.3984020729863956E-3</v>
      </c>
      <c r="AT116" s="189">
        <f t="shared" si="417"/>
        <v>4.7946633312486971E-3</v>
      </c>
      <c r="AU116" s="189">
        <f t="shared" si="417"/>
        <v>7.7572438968742862E-3</v>
      </c>
      <c r="AV116" s="188">
        <f t="shared" ref="AV116" si="418">AV115/AV108</f>
        <v>6.4468285556643105E-3</v>
      </c>
    </row>
    <row r="117" spans="2:48" ht="16.2" outlineLevel="1" x14ac:dyDescent="0.45">
      <c r="B117" s="180" t="s">
        <v>42</v>
      </c>
      <c r="C117" s="18"/>
      <c r="D117" s="119">
        <v>0</v>
      </c>
      <c r="E117" s="119">
        <v>0</v>
      </c>
      <c r="F117" s="119">
        <v>0</v>
      </c>
      <c r="G117" s="119">
        <v>0</v>
      </c>
      <c r="H117" s="131">
        <f>SUM(D117:G117)</f>
        <v>0</v>
      </c>
      <c r="I117" s="119">
        <v>0</v>
      </c>
      <c r="J117" s="119">
        <v>0</v>
      </c>
      <c r="K117" s="119">
        <v>0</v>
      </c>
      <c r="L117" s="119">
        <v>0</v>
      </c>
      <c r="M117" s="131">
        <f>SUM(I117:L117)</f>
        <v>0</v>
      </c>
      <c r="N117" s="119">
        <v>0</v>
      </c>
      <c r="O117" s="119">
        <v>0</v>
      </c>
      <c r="P117" s="119">
        <v>0</v>
      </c>
      <c r="Q117" s="119">
        <v>0</v>
      </c>
      <c r="R117" s="131">
        <f>SUM(N117:Q117)</f>
        <v>0</v>
      </c>
      <c r="S117" s="119">
        <v>0</v>
      </c>
      <c r="T117" s="119">
        <v>0</v>
      </c>
      <c r="U117" s="119">
        <v>0</v>
      </c>
      <c r="V117" s="119">
        <f>IFERROR((V163*(U117/U163)),0)</f>
        <v>0</v>
      </c>
      <c r="W117" s="131">
        <f>SUM(S117:V117)</f>
        <v>0</v>
      </c>
      <c r="X117" s="119">
        <f>IFERROR((X163*(V117/V163)),0)</f>
        <v>0</v>
      </c>
      <c r="Y117" s="119">
        <f t="shared" ref="Y117:AA117" si="419">IFERROR((Y163*(X117/X163)),0)</f>
        <v>0</v>
      </c>
      <c r="Z117" s="119">
        <f t="shared" si="419"/>
        <v>0</v>
      </c>
      <c r="AA117" s="119">
        <f t="shared" si="419"/>
        <v>0</v>
      </c>
      <c r="AB117" s="131">
        <f>SUM(X117:AA117)</f>
        <v>0</v>
      </c>
      <c r="AC117" s="119">
        <f>IFERROR((AC163*(AA117/AA163)),0)</f>
        <v>0</v>
      </c>
      <c r="AD117" s="119">
        <f t="shared" ref="AD117:AF117" si="420">IFERROR((AD163*(AC117/AC163)),0)</f>
        <v>0</v>
      </c>
      <c r="AE117" s="119">
        <f t="shared" si="420"/>
        <v>0</v>
      </c>
      <c r="AF117" s="119">
        <f t="shared" si="420"/>
        <v>0</v>
      </c>
      <c r="AG117" s="131">
        <f>SUM(AC117:AF117)</f>
        <v>0</v>
      </c>
      <c r="AH117" s="119">
        <f>IFERROR((AH163*(AF117/AF163)),0)</f>
        <v>0</v>
      </c>
      <c r="AI117" s="119">
        <f t="shared" ref="AI117:AK117" si="421">IFERROR((AI163*(AH117/AH163)),0)</f>
        <v>0</v>
      </c>
      <c r="AJ117" s="119">
        <f t="shared" si="421"/>
        <v>0</v>
      </c>
      <c r="AK117" s="119">
        <f t="shared" si="421"/>
        <v>0</v>
      </c>
      <c r="AL117" s="131">
        <f>SUM(AH117:AK117)</f>
        <v>0</v>
      </c>
      <c r="AM117" s="119">
        <f>IFERROR((AM163*(AK117/AK163)),0)</f>
        <v>0</v>
      </c>
      <c r="AN117" s="119">
        <f t="shared" ref="AN117:AP117" si="422">IFERROR((AN163*(AM117/AM163)),0)</f>
        <v>0</v>
      </c>
      <c r="AO117" s="119">
        <f t="shared" si="422"/>
        <v>0</v>
      </c>
      <c r="AP117" s="119">
        <f t="shared" si="422"/>
        <v>0</v>
      </c>
      <c r="AQ117" s="131">
        <f>SUM(AM117:AP117)</f>
        <v>0</v>
      </c>
      <c r="AR117" s="119">
        <f>IFERROR((AR163*(AP117/AP163)),0)</f>
        <v>0</v>
      </c>
      <c r="AS117" s="119">
        <f t="shared" ref="AS117:AU117" si="423">IFERROR((AS163*(AR117/AR163)),0)</f>
        <v>0</v>
      </c>
      <c r="AT117" s="119">
        <f t="shared" si="423"/>
        <v>0</v>
      </c>
      <c r="AU117" s="119">
        <f t="shared" si="423"/>
        <v>0</v>
      </c>
      <c r="AV117" s="131">
        <f>SUM(AR117:AU117)</f>
        <v>0</v>
      </c>
    </row>
    <row r="118" spans="2:48" outlineLevel="1" x14ac:dyDescent="0.3">
      <c r="B118" s="46" t="s">
        <v>52</v>
      </c>
      <c r="C118" s="19"/>
      <c r="D118" s="50">
        <f>D110+D112+D114+D115+D117</f>
        <v>370.2</v>
      </c>
      <c r="E118" s="50">
        <f t="shared" ref="E118:AV118" si="424">E110+E112+E114+E115+E117</f>
        <v>337.90000000000003</v>
      </c>
      <c r="F118" s="50">
        <f t="shared" si="424"/>
        <v>400.2</v>
      </c>
      <c r="G118" s="50">
        <f t="shared" si="424"/>
        <v>382.30000000000007</v>
      </c>
      <c r="H118" s="26">
        <f t="shared" si="424"/>
        <v>1490.6</v>
      </c>
      <c r="I118" s="50">
        <f t="shared" si="424"/>
        <v>362.1</v>
      </c>
      <c r="J118" s="50">
        <f t="shared" si="424"/>
        <v>372.6</v>
      </c>
      <c r="K118" s="50">
        <f t="shared" si="424"/>
        <v>374.09999999999997</v>
      </c>
      <c r="L118" s="50">
        <f t="shared" si="424"/>
        <v>349.1</v>
      </c>
      <c r="M118" s="26">
        <f t="shared" si="424"/>
        <v>1457.9000000000003</v>
      </c>
      <c r="N118" s="50">
        <f t="shared" si="424"/>
        <v>246.99999999999997</v>
      </c>
      <c r="O118" s="50">
        <f t="shared" si="424"/>
        <v>247.60000000000002</v>
      </c>
      <c r="P118" s="50">
        <f t="shared" si="424"/>
        <v>261.5</v>
      </c>
      <c r="Q118" s="103">
        <f t="shared" si="424"/>
        <v>298.2</v>
      </c>
      <c r="R118" s="26">
        <f t="shared" si="424"/>
        <v>1054.3</v>
      </c>
      <c r="S118" s="50">
        <f t="shared" si="424"/>
        <v>273.5</v>
      </c>
      <c r="T118" s="50">
        <f t="shared" si="424"/>
        <v>313.7</v>
      </c>
      <c r="U118" s="50">
        <f t="shared" si="424"/>
        <v>341.70000000000005</v>
      </c>
      <c r="V118" s="50">
        <f t="shared" si="424"/>
        <v>361.43910000000005</v>
      </c>
      <c r="W118" s="26">
        <f t="shared" si="424"/>
        <v>1290.3390999999999</v>
      </c>
      <c r="X118" s="50">
        <f t="shared" si="424"/>
        <v>316.90835000000004</v>
      </c>
      <c r="Y118" s="50">
        <f t="shared" si="424"/>
        <v>326.24799999999999</v>
      </c>
      <c r="Z118" s="50">
        <f t="shared" si="424"/>
        <v>350.37912000000006</v>
      </c>
      <c r="AA118" s="50">
        <f t="shared" si="424"/>
        <v>345.81175200000001</v>
      </c>
      <c r="AB118" s="26">
        <f t="shared" si="424"/>
        <v>1339.3472220000001</v>
      </c>
      <c r="AC118" s="50">
        <f t="shared" si="424"/>
        <v>320.04143600000009</v>
      </c>
      <c r="AD118" s="50">
        <f t="shared" si="424"/>
        <v>339.29792000000003</v>
      </c>
      <c r="AE118" s="50">
        <f t="shared" si="424"/>
        <v>354.01741440000001</v>
      </c>
      <c r="AF118" s="50">
        <f t="shared" si="424"/>
        <v>349.21478592000005</v>
      </c>
      <c r="AG118" s="26">
        <f t="shared" si="424"/>
        <v>1362.5715563200001</v>
      </c>
      <c r="AH118" s="50">
        <f t="shared" si="424"/>
        <v>331.35434675200008</v>
      </c>
      <c r="AI118" s="50">
        <f t="shared" si="424"/>
        <v>352.86983680000009</v>
      </c>
      <c r="AJ118" s="50">
        <f t="shared" si="424"/>
        <v>362.78213836800012</v>
      </c>
      <c r="AK118" s="50">
        <f t="shared" si="424"/>
        <v>361.0140546355201</v>
      </c>
      <c r="AL118" s="26">
        <f t="shared" si="424"/>
        <v>1408.0203765555202</v>
      </c>
      <c r="AM118" s="50">
        <f t="shared" si="424"/>
        <v>344.60852062208011</v>
      </c>
      <c r="AN118" s="50">
        <f t="shared" si="424"/>
        <v>366.98463027200012</v>
      </c>
      <c r="AO118" s="50">
        <f t="shared" si="424"/>
        <v>377.29342390272006</v>
      </c>
      <c r="AP118" s="50">
        <f t="shared" si="424"/>
        <v>375.45461682094094</v>
      </c>
      <c r="AQ118" s="26">
        <f t="shared" si="424"/>
        <v>1464.3411916177413</v>
      </c>
      <c r="AR118" s="50">
        <f t="shared" si="424"/>
        <v>358.39286144696342</v>
      </c>
      <c r="AS118" s="50">
        <f t="shared" si="424"/>
        <v>381.66401548288013</v>
      </c>
      <c r="AT118" s="50">
        <f t="shared" si="424"/>
        <v>392.38516085882884</v>
      </c>
      <c r="AU118" s="50">
        <f t="shared" si="424"/>
        <v>390.47280149377849</v>
      </c>
      <c r="AV118" s="26">
        <f t="shared" si="424"/>
        <v>1522.9148392824509</v>
      </c>
    </row>
    <row r="119" spans="2:48" ht="16.2" outlineLevel="1" x14ac:dyDescent="0.45">
      <c r="B119" s="47" t="s">
        <v>36</v>
      </c>
      <c r="C119" s="44"/>
      <c r="D119" s="52">
        <v>41.4</v>
      </c>
      <c r="E119" s="104">
        <v>40.200000000000003</v>
      </c>
      <c r="F119" s="104">
        <v>48.8</v>
      </c>
      <c r="G119" s="104">
        <v>65.099999999999994</v>
      </c>
      <c r="H119" s="193">
        <f>SUM(D119:G119)</f>
        <v>195.49999999999997</v>
      </c>
      <c r="I119" s="104">
        <v>43</v>
      </c>
      <c r="J119" s="104">
        <v>43.1</v>
      </c>
      <c r="K119" s="104">
        <v>51</v>
      </c>
      <c r="L119" s="104">
        <v>83</v>
      </c>
      <c r="M119" s="193">
        <f>SUM(I119:L119)</f>
        <v>220.1</v>
      </c>
      <c r="N119" s="104">
        <v>56.4</v>
      </c>
      <c r="O119" s="104">
        <v>50.3</v>
      </c>
      <c r="P119" s="104">
        <v>63.5</v>
      </c>
      <c r="Q119" s="104">
        <v>79.7</v>
      </c>
      <c r="R119" s="193">
        <f>SUM(N119:Q119)</f>
        <v>249.89999999999998</v>
      </c>
      <c r="S119" s="104">
        <v>39.6</v>
      </c>
      <c r="T119" s="104">
        <v>48.5</v>
      </c>
      <c r="U119" s="104">
        <v>53.7</v>
      </c>
      <c r="V119" s="56">
        <f>U119</f>
        <v>53.7</v>
      </c>
      <c r="W119" s="193">
        <f>SUM(S119:V119)</f>
        <v>195.5</v>
      </c>
      <c r="X119" s="56">
        <f>V119</f>
        <v>53.7</v>
      </c>
      <c r="Y119" s="56">
        <f>X119</f>
        <v>53.7</v>
      </c>
      <c r="Z119" s="56">
        <f>Y119</f>
        <v>53.7</v>
      </c>
      <c r="AA119" s="56">
        <f>Z119</f>
        <v>53.7</v>
      </c>
      <c r="AB119" s="193">
        <f>SUM(X119:AA119)</f>
        <v>214.8</v>
      </c>
      <c r="AC119" s="56">
        <f>AA119</f>
        <v>53.7</v>
      </c>
      <c r="AD119" s="56">
        <f>AC119</f>
        <v>53.7</v>
      </c>
      <c r="AE119" s="56">
        <f>AD119</f>
        <v>53.7</v>
      </c>
      <c r="AF119" s="56">
        <f>AE119</f>
        <v>53.7</v>
      </c>
      <c r="AG119" s="193">
        <f>SUM(AC119:AF119)</f>
        <v>214.8</v>
      </c>
      <c r="AH119" s="56">
        <f>AF119</f>
        <v>53.7</v>
      </c>
      <c r="AI119" s="56">
        <f>AH119</f>
        <v>53.7</v>
      </c>
      <c r="AJ119" s="56">
        <f>AI119</f>
        <v>53.7</v>
      </c>
      <c r="AK119" s="56">
        <f>AJ119</f>
        <v>53.7</v>
      </c>
      <c r="AL119" s="193">
        <f>SUM(AH119:AK119)</f>
        <v>214.8</v>
      </c>
      <c r="AM119" s="56">
        <f>AK119</f>
        <v>53.7</v>
      </c>
      <c r="AN119" s="56">
        <f>AM119</f>
        <v>53.7</v>
      </c>
      <c r="AO119" s="56">
        <f>AN119</f>
        <v>53.7</v>
      </c>
      <c r="AP119" s="56">
        <f>AO119</f>
        <v>53.7</v>
      </c>
      <c r="AQ119" s="193">
        <f>SUM(AM119:AP119)</f>
        <v>214.8</v>
      </c>
      <c r="AR119" s="56">
        <f>AP119</f>
        <v>53.7</v>
      </c>
      <c r="AS119" s="56">
        <f>AR119</f>
        <v>53.7</v>
      </c>
      <c r="AT119" s="56">
        <f>AS119</f>
        <v>53.7</v>
      </c>
      <c r="AU119" s="56">
        <f>AT119</f>
        <v>53.7</v>
      </c>
      <c r="AV119" s="193">
        <f>SUM(AR119:AU119)</f>
        <v>214.8</v>
      </c>
    </row>
    <row r="120" spans="2:48" outlineLevel="1" x14ac:dyDescent="0.3">
      <c r="B120" s="46" t="s">
        <v>53</v>
      </c>
      <c r="C120" s="44"/>
      <c r="D120" s="156">
        <f t="shared" ref="D120:AV120" si="425">D108-D118+D119</f>
        <v>175.80000000000004</v>
      </c>
      <c r="E120" s="156">
        <f t="shared" si="425"/>
        <v>148.89999999999998</v>
      </c>
      <c r="F120" s="156">
        <f t="shared" si="425"/>
        <v>181.89999999999998</v>
      </c>
      <c r="G120" s="156">
        <f t="shared" si="425"/>
        <v>190.89999999999995</v>
      </c>
      <c r="H120" s="97">
        <f t="shared" si="425"/>
        <v>697.5</v>
      </c>
      <c r="I120" s="156">
        <f t="shared" si="425"/>
        <v>175.5</v>
      </c>
      <c r="J120" s="156">
        <f t="shared" si="425"/>
        <v>189.6</v>
      </c>
      <c r="K120" s="156">
        <f t="shared" si="425"/>
        <v>124.20000000000005</v>
      </c>
      <c r="L120" s="74">
        <f t="shared" si="425"/>
        <v>197.89999999999998</v>
      </c>
      <c r="M120" s="97">
        <f t="shared" si="425"/>
        <v>687.1999999999997</v>
      </c>
      <c r="N120" s="74">
        <f t="shared" si="425"/>
        <v>180.8</v>
      </c>
      <c r="O120" s="74">
        <f t="shared" si="425"/>
        <v>172.59999999999997</v>
      </c>
      <c r="P120" s="74">
        <f t="shared" si="425"/>
        <v>216</v>
      </c>
      <c r="Q120" s="74">
        <f t="shared" si="425"/>
        <v>219.8</v>
      </c>
      <c r="R120" s="97">
        <f t="shared" si="425"/>
        <v>789.19999999999993</v>
      </c>
      <c r="S120" s="74">
        <f t="shared" si="425"/>
        <v>183.20000000000002</v>
      </c>
      <c r="T120" s="74">
        <f t="shared" si="425"/>
        <v>197.90000000000003</v>
      </c>
      <c r="U120" s="74">
        <f t="shared" si="425"/>
        <v>191.69999999999993</v>
      </c>
      <c r="V120" s="74">
        <f t="shared" si="425"/>
        <v>174.39089999999999</v>
      </c>
      <c r="W120" s="97">
        <f t="shared" si="425"/>
        <v>747.19090000000028</v>
      </c>
      <c r="X120" s="74">
        <f t="shared" si="425"/>
        <v>195.60165000000001</v>
      </c>
      <c r="Y120" s="74">
        <f t="shared" si="425"/>
        <v>209.07600000000002</v>
      </c>
      <c r="Z120" s="74">
        <f t="shared" si="425"/>
        <v>202.20887999999997</v>
      </c>
      <c r="AA120" s="74">
        <f t="shared" si="425"/>
        <v>209.30344800000006</v>
      </c>
      <c r="AB120" s="97">
        <f t="shared" si="425"/>
        <v>816.18997800000011</v>
      </c>
      <c r="AC120" s="74">
        <f t="shared" si="425"/>
        <v>210.820964</v>
      </c>
      <c r="AD120" s="74">
        <f t="shared" si="425"/>
        <v>215.29104000000001</v>
      </c>
      <c r="AE120" s="74">
        <f t="shared" si="425"/>
        <v>218.52610559999999</v>
      </c>
      <c r="AF120" s="74">
        <f t="shared" si="425"/>
        <v>225.95702208000006</v>
      </c>
      <c r="AG120" s="97">
        <f t="shared" si="425"/>
        <v>870.59513168000035</v>
      </c>
      <c r="AH120" s="74">
        <f t="shared" si="425"/>
        <v>218.59454924800002</v>
      </c>
      <c r="AI120" s="74">
        <f t="shared" si="425"/>
        <v>221.75468160000003</v>
      </c>
      <c r="AJ120" s="74">
        <f t="shared" si="425"/>
        <v>230.51512243199994</v>
      </c>
      <c r="AK120" s="74">
        <f t="shared" si="425"/>
        <v>235.01662568448006</v>
      </c>
      <c r="AL120" s="97">
        <f t="shared" si="425"/>
        <v>905.88097896448039</v>
      </c>
      <c r="AM120" s="74">
        <f t="shared" si="425"/>
        <v>225.19033121792006</v>
      </c>
      <c r="AN120" s="74">
        <f t="shared" si="425"/>
        <v>228.47686886399998</v>
      </c>
      <c r="AO120" s="74">
        <f t="shared" si="425"/>
        <v>237.58772732927997</v>
      </c>
      <c r="AP120" s="74">
        <f t="shared" si="425"/>
        <v>242.26929071185924</v>
      </c>
      <c r="AQ120" s="97">
        <f t="shared" si="425"/>
        <v>933.5242181230592</v>
      </c>
      <c r="AR120" s="74">
        <f t="shared" si="425"/>
        <v>232.04994446663682</v>
      </c>
      <c r="AS120" s="74">
        <f t="shared" si="425"/>
        <v>235.46794361856001</v>
      </c>
      <c r="AT120" s="74">
        <f t="shared" si="425"/>
        <v>244.94323642245121</v>
      </c>
      <c r="AU120" s="74">
        <f t="shared" si="425"/>
        <v>249.81206234033368</v>
      </c>
      <c r="AV120" s="97">
        <f t="shared" si="425"/>
        <v>962.27318684798206</v>
      </c>
    </row>
    <row r="121" spans="2:48" outlineLevel="1" x14ac:dyDescent="0.3">
      <c r="B121" s="46" t="s">
        <v>54</v>
      </c>
      <c r="C121" s="44"/>
      <c r="D121" s="157">
        <f>+D120/D108</f>
        <v>0.34839476813317488</v>
      </c>
      <c r="E121" s="157">
        <f>+E120/E108</f>
        <v>0.33340797133900574</v>
      </c>
      <c r="F121" s="157">
        <f>+F120/F108</f>
        <v>0.34108381773860863</v>
      </c>
      <c r="G121" s="157">
        <f>+G120/G108</f>
        <v>0.37571344223578024</v>
      </c>
      <c r="H121" s="125">
        <f>H120/H108</f>
        <v>0.35004516711833789</v>
      </c>
      <c r="I121" s="157">
        <f t="shared" ref="I121:AV121" si="426">+I120/I108</f>
        <v>0.3548321876263647</v>
      </c>
      <c r="J121" s="157">
        <f t="shared" si="426"/>
        <v>0.36524754382585239</v>
      </c>
      <c r="K121" s="157">
        <f t="shared" si="426"/>
        <v>0.27766599597585523</v>
      </c>
      <c r="L121" s="75">
        <f t="shared" si="426"/>
        <v>0.42650862068965512</v>
      </c>
      <c r="M121" s="98">
        <f t="shared" si="426"/>
        <v>0.35698701298701285</v>
      </c>
      <c r="N121" s="75">
        <f t="shared" si="426"/>
        <v>0.48680667743672595</v>
      </c>
      <c r="O121" s="75">
        <f t="shared" si="426"/>
        <v>0.46661259799945926</v>
      </c>
      <c r="P121" s="75">
        <f t="shared" si="426"/>
        <v>0.52173913043478259</v>
      </c>
      <c r="Q121" s="75">
        <f t="shared" si="426"/>
        <v>0.50148300250969657</v>
      </c>
      <c r="R121" s="98">
        <f t="shared" si="426"/>
        <v>0.49523092369477911</v>
      </c>
      <c r="S121" s="75">
        <f t="shared" si="426"/>
        <v>0.43922320786382163</v>
      </c>
      <c r="T121" s="75">
        <f t="shared" si="426"/>
        <v>0.42733750809760318</v>
      </c>
      <c r="U121" s="75">
        <f t="shared" si="426"/>
        <v>0.3996247654784239</v>
      </c>
      <c r="V121" s="75">
        <f t="shared" si="426"/>
        <v>0.36170929002551172</v>
      </c>
      <c r="W121" s="98">
        <f t="shared" si="426"/>
        <v>0.40563449020917153</v>
      </c>
      <c r="X121" s="75">
        <f t="shared" si="426"/>
        <v>0.42632385954970464</v>
      </c>
      <c r="Y121" s="75">
        <f t="shared" si="426"/>
        <v>0.43410627377373223</v>
      </c>
      <c r="Z121" s="75">
        <f t="shared" si="426"/>
        <v>0.40531918987828924</v>
      </c>
      <c r="AA121" s="75">
        <f t="shared" si="426"/>
        <v>0.41742541510508663</v>
      </c>
      <c r="AB121" s="98">
        <f t="shared" si="426"/>
        <v>0.42055667196980612</v>
      </c>
      <c r="AC121" s="75">
        <f t="shared" si="426"/>
        <v>0.44182224751992183</v>
      </c>
      <c r="AD121" s="75">
        <f t="shared" si="426"/>
        <v>0.42981789816249888</v>
      </c>
      <c r="AE121" s="75">
        <f t="shared" si="426"/>
        <v>0.42117921333969821</v>
      </c>
      <c r="AF121" s="75">
        <f t="shared" si="426"/>
        <v>0.43330630460467767</v>
      </c>
      <c r="AG121" s="98">
        <f t="shared" si="426"/>
        <v>0.43133645479586913</v>
      </c>
      <c r="AH121" s="75">
        <f t="shared" si="426"/>
        <v>0.44049377441436155</v>
      </c>
      <c r="AI121" s="75">
        <f t="shared" si="426"/>
        <v>0.42569446007477457</v>
      </c>
      <c r="AJ121" s="75">
        <f t="shared" si="426"/>
        <v>0.4271984666679759</v>
      </c>
      <c r="AK121" s="75">
        <f t="shared" si="426"/>
        <v>0.43334562143120758</v>
      </c>
      <c r="AL121" s="98">
        <f t="shared" si="426"/>
        <v>0.43155656899667461</v>
      </c>
      <c r="AM121" s="75">
        <f t="shared" si="426"/>
        <v>0.43633178104363052</v>
      </c>
      <c r="AN121" s="75">
        <f t="shared" si="426"/>
        <v>0.42172961575965501</v>
      </c>
      <c r="AO121" s="75">
        <f t="shared" si="426"/>
        <v>0.42337082563747391</v>
      </c>
      <c r="AP121" s="75">
        <f t="shared" si="426"/>
        <v>0.42953727222594784</v>
      </c>
      <c r="AQ121" s="98">
        <f t="shared" si="426"/>
        <v>0.42762081885301745</v>
      </c>
      <c r="AR121" s="75">
        <f t="shared" si="426"/>
        <v>0.43232986434100434</v>
      </c>
      <c r="AS121" s="75">
        <f t="shared" si="426"/>
        <v>0.41791726545665547</v>
      </c>
      <c r="AT121" s="75">
        <f t="shared" si="426"/>
        <v>0.41969040156968351</v>
      </c>
      <c r="AU121" s="75">
        <f t="shared" si="426"/>
        <v>0.42587539799012136</v>
      </c>
      <c r="AV121" s="98">
        <f t="shared" si="426"/>
        <v>0.42383644371488588</v>
      </c>
    </row>
    <row r="122" spans="2:48" ht="17.399999999999999" x14ac:dyDescent="0.45">
      <c r="B122" s="433" t="s">
        <v>55</v>
      </c>
      <c r="C122" s="434"/>
      <c r="D122" s="14" t="s">
        <v>19</v>
      </c>
      <c r="E122" s="14" t="s">
        <v>81</v>
      </c>
      <c r="F122" s="14" t="s">
        <v>85</v>
      </c>
      <c r="G122" s="14" t="s">
        <v>95</v>
      </c>
      <c r="H122" s="40" t="s">
        <v>96</v>
      </c>
      <c r="I122" s="14" t="s">
        <v>97</v>
      </c>
      <c r="J122" s="14" t="s">
        <v>98</v>
      </c>
      <c r="K122" s="14" t="s">
        <v>99</v>
      </c>
      <c r="L122" s="14" t="s">
        <v>142</v>
      </c>
      <c r="M122" s="40" t="s">
        <v>143</v>
      </c>
      <c r="N122" s="14" t="s">
        <v>149</v>
      </c>
      <c r="O122" s="14" t="s">
        <v>157</v>
      </c>
      <c r="P122" s="14" t="s">
        <v>159</v>
      </c>
      <c r="Q122" s="14" t="s">
        <v>172</v>
      </c>
      <c r="R122" s="40" t="s">
        <v>173</v>
      </c>
      <c r="S122" s="14" t="s">
        <v>188</v>
      </c>
      <c r="T122" s="14" t="s">
        <v>189</v>
      </c>
      <c r="U122" s="14" t="s">
        <v>204</v>
      </c>
      <c r="V122" s="12" t="s">
        <v>25</v>
      </c>
      <c r="W122" s="42" t="s">
        <v>26</v>
      </c>
      <c r="X122" s="12" t="s">
        <v>27</v>
      </c>
      <c r="Y122" s="12" t="s">
        <v>28</v>
      </c>
      <c r="Z122" s="12" t="s">
        <v>29</v>
      </c>
      <c r="AA122" s="12" t="s">
        <v>30</v>
      </c>
      <c r="AB122" s="42" t="s">
        <v>31</v>
      </c>
      <c r="AC122" s="12" t="s">
        <v>90</v>
      </c>
      <c r="AD122" s="12" t="s">
        <v>91</v>
      </c>
      <c r="AE122" s="12" t="s">
        <v>92</v>
      </c>
      <c r="AF122" s="12" t="s">
        <v>93</v>
      </c>
      <c r="AG122" s="42" t="s">
        <v>94</v>
      </c>
      <c r="AH122" s="12" t="s">
        <v>109</v>
      </c>
      <c r="AI122" s="12" t="s">
        <v>110</v>
      </c>
      <c r="AJ122" s="12" t="s">
        <v>111</v>
      </c>
      <c r="AK122" s="12" t="s">
        <v>112</v>
      </c>
      <c r="AL122" s="42" t="s">
        <v>113</v>
      </c>
      <c r="AM122" s="12" t="s">
        <v>164</v>
      </c>
      <c r="AN122" s="12" t="s">
        <v>165</v>
      </c>
      <c r="AO122" s="12" t="s">
        <v>166</v>
      </c>
      <c r="AP122" s="12" t="s">
        <v>167</v>
      </c>
      <c r="AQ122" s="42" t="s">
        <v>168</v>
      </c>
      <c r="AR122" s="12" t="s">
        <v>195</v>
      </c>
      <c r="AS122" s="12" t="s">
        <v>196</v>
      </c>
      <c r="AT122" s="12" t="s">
        <v>197</v>
      </c>
      <c r="AU122" s="12" t="s">
        <v>198</v>
      </c>
      <c r="AV122" s="42" t="s">
        <v>199</v>
      </c>
    </row>
    <row r="123" spans="2:48" s="8" customFormat="1" outlineLevel="1" x14ac:dyDescent="0.3">
      <c r="B123" s="435" t="s">
        <v>127</v>
      </c>
      <c r="C123" s="436"/>
      <c r="D123" s="48">
        <v>11.6</v>
      </c>
      <c r="E123" s="48">
        <v>15.8</v>
      </c>
      <c r="F123" s="48">
        <v>23.3</v>
      </c>
      <c r="G123" s="48">
        <v>15.4</v>
      </c>
      <c r="H123" s="31">
        <f>SUM(D123:G123)</f>
        <v>66.100000000000009</v>
      </c>
      <c r="I123" s="48">
        <v>20.5</v>
      </c>
      <c r="J123" s="48">
        <v>12</v>
      </c>
      <c r="K123" s="48">
        <v>19.7</v>
      </c>
      <c r="L123" s="48">
        <v>13.9</v>
      </c>
      <c r="M123" s="31">
        <f>SUM(I123:L123)</f>
        <v>66.100000000000009</v>
      </c>
      <c r="N123" s="48">
        <v>20.5</v>
      </c>
      <c r="O123" s="48">
        <v>22.6</v>
      </c>
      <c r="P123" s="48">
        <v>23.8</v>
      </c>
      <c r="Q123" s="105">
        <v>30.8</v>
      </c>
      <c r="R123" s="31">
        <f>SUM(N123:Q123)</f>
        <v>97.7</v>
      </c>
      <c r="S123" s="48">
        <v>25.1</v>
      </c>
      <c r="T123" s="48">
        <v>24.4</v>
      </c>
      <c r="U123" s="48">
        <v>27.3</v>
      </c>
      <c r="V123" s="48">
        <f t="shared" ref="V123" si="427">+Q123*(1+V124)</f>
        <v>33.880000000000003</v>
      </c>
      <c r="W123" s="31">
        <f>SUM(S123:V123)</f>
        <v>110.68</v>
      </c>
      <c r="X123" s="48">
        <f>+S123*(1+X124)</f>
        <v>27.610000000000003</v>
      </c>
      <c r="Y123" s="48">
        <f>+T123*(1+Y124)</f>
        <v>26.84</v>
      </c>
      <c r="Z123" s="48">
        <f>+U123*(1+Z124)</f>
        <v>30.030000000000005</v>
      </c>
      <c r="AA123" s="48">
        <f t="shared" ref="AA123" si="428">+V123*(1+AA124)</f>
        <v>37.268000000000008</v>
      </c>
      <c r="AB123" s="31">
        <f>SUM(X123:AA123)</f>
        <v>121.74800000000002</v>
      </c>
      <c r="AC123" s="48">
        <f>+X123*(1+AC124)</f>
        <v>30.371000000000006</v>
      </c>
      <c r="AD123" s="48">
        <f>+Y123*(1+AD124)</f>
        <v>29.524000000000001</v>
      </c>
      <c r="AE123" s="48">
        <f>+Z123*(1+AE124)</f>
        <v>33.033000000000008</v>
      </c>
      <c r="AF123" s="48">
        <f t="shared" ref="AF123" si="429">+AA123*(1+AF124)</f>
        <v>40.994800000000012</v>
      </c>
      <c r="AG123" s="31">
        <f>SUM(AC123:AF123)</f>
        <v>133.92280000000005</v>
      </c>
      <c r="AH123" s="48">
        <f>+AC123*(1+AH124)</f>
        <v>33.408100000000012</v>
      </c>
      <c r="AI123" s="48">
        <f>+AD123*(1+AI124)</f>
        <v>32.476400000000005</v>
      </c>
      <c r="AJ123" s="48">
        <f>+AE123*(1+AJ124)</f>
        <v>36.336300000000016</v>
      </c>
      <c r="AK123" s="48">
        <f t="shared" ref="AK123" si="430">+AF123*(1+AK124)</f>
        <v>45.094280000000019</v>
      </c>
      <c r="AL123" s="31">
        <f>SUM(AH123:AK123)</f>
        <v>147.31508000000005</v>
      </c>
      <c r="AM123" s="48">
        <f>+AH123*(1+AM124)</f>
        <v>36.748910000000016</v>
      </c>
      <c r="AN123" s="48">
        <f>+AI123*(1+AN124)</f>
        <v>35.724040000000009</v>
      </c>
      <c r="AO123" s="48">
        <f>+AJ123*(1+AO124)</f>
        <v>39.969930000000019</v>
      </c>
      <c r="AP123" s="48">
        <f t="shared" ref="AP123" si="431">+AK123*(1+AP124)</f>
        <v>49.603708000000026</v>
      </c>
      <c r="AQ123" s="31">
        <f>SUM(AM123:AP123)</f>
        <v>162.04658800000007</v>
      </c>
      <c r="AR123" s="48">
        <f>+AM123*(1+AR124)</f>
        <v>40.423801000000019</v>
      </c>
      <c r="AS123" s="48">
        <f>+AN123*(1+AS124)</f>
        <v>39.296444000000015</v>
      </c>
      <c r="AT123" s="48">
        <f>+AO123*(1+AT124)</f>
        <v>43.966923000000023</v>
      </c>
      <c r="AU123" s="48">
        <f t="shared" ref="AU123" si="432">+AP123*(1+AU124)</f>
        <v>54.564078800000033</v>
      </c>
      <c r="AV123" s="31">
        <f>SUM(AR123:AU123)</f>
        <v>178.2512468000001</v>
      </c>
    </row>
    <row r="124" spans="2:48" s="8" customFormat="1" outlineLevel="1" x14ac:dyDescent="0.3">
      <c r="B124" s="38" t="s">
        <v>128</v>
      </c>
      <c r="C124" s="201"/>
      <c r="D124" s="30"/>
      <c r="E124" s="30"/>
      <c r="F124" s="30"/>
      <c r="G124" s="118"/>
      <c r="H124" s="130"/>
      <c r="I124" s="118">
        <f t="shared" ref="I124:J124" si="433">I123/D123-1</f>
        <v>0.76724137931034497</v>
      </c>
      <c r="J124" s="118">
        <f t="shared" si="433"/>
        <v>-0.24050632911392411</v>
      </c>
      <c r="K124" s="118">
        <f>K123/F123-1</f>
        <v>-0.15450643776824036</v>
      </c>
      <c r="L124" s="118">
        <f>L123/G123-1</f>
        <v>-9.740259740259738E-2</v>
      </c>
      <c r="M124" s="128">
        <f>M123/H123-1</f>
        <v>0</v>
      </c>
      <c r="N124" s="118">
        <f t="shared" ref="N124:Q124" si="434">N123/I123-1</f>
        <v>0</v>
      </c>
      <c r="O124" s="118">
        <f t="shared" si="434"/>
        <v>0.88333333333333353</v>
      </c>
      <c r="P124" s="118">
        <f t="shared" si="434"/>
        <v>0.20812182741116758</v>
      </c>
      <c r="Q124" s="118">
        <f t="shared" si="434"/>
        <v>1.2158273381294964</v>
      </c>
      <c r="R124" s="128">
        <f>R123/M123-1</f>
        <v>0.47806354009077134</v>
      </c>
      <c r="S124" s="118">
        <f t="shared" ref="S124:U124" si="435">S123/N123-1</f>
        <v>0.224390243902439</v>
      </c>
      <c r="T124" s="118">
        <f t="shared" si="435"/>
        <v>7.9646017699114946E-2</v>
      </c>
      <c r="U124" s="118">
        <f t="shared" si="435"/>
        <v>0.14705882352941169</v>
      </c>
      <c r="V124" s="34">
        <v>0.1</v>
      </c>
      <c r="W124" s="128">
        <f>W123/R123-1</f>
        <v>0.13285568065506648</v>
      </c>
      <c r="X124" s="34">
        <v>0.1</v>
      </c>
      <c r="Y124" s="34">
        <v>0.1</v>
      </c>
      <c r="Z124" s="34">
        <v>0.1</v>
      </c>
      <c r="AA124" s="34">
        <v>0.1</v>
      </c>
      <c r="AB124" s="128">
        <f>AB123/W123-1</f>
        <v>0.10000000000000009</v>
      </c>
      <c r="AC124" s="34">
        <v>0.1</v>
      </c>
      <c r="AD124" s="34">
        <v>0.1</v>
      </c>
      <c r="AE124" s="34">
        <v>0.1</v>
      </c>
      <c r="AF124" s="34">
        <v>0.1</v>
      </c>
      <c r="AG124" s="128">
        <f>AG123/AB123-1</f>
        <v>0.10000000000000031</v>
      </c>
      <c r="AH124" s="34">
        <v>0.1</v>
      </c>
      <c r="AI124" s="34">
        <v>0.1</v>
      </c>
      <c r="AJ124" s="34">
        <v>0.1</v>
      </c>
      <c r="AK124" s="34">
        <v>0.1</v>
      </c>
      <c r="AL124" s="128">
        <f>AL123/AG123-1</f>
        <v>9.9999999999999867E-2</v>
      </c>
      <c r="AM124" s="34">
        <v>0.1</v>
      </c>
      <c r="AN124" s="34">
        <v>0.1</v>
      </c>
      <c r="AO124" s="34">
        <v>0.1</v>
      </c>
      <c r="AP124" s="34">
        <v>0.1</v>
      </c>
      <c r="AQ124" s="128">
        <f>AQ123/AL123-1</f>
        <v>0.10000000000000009</v>
      </c>
      <c r="AR124" s="34">
        <v>0.1</v>
      </c>
      <c r="AS124" s="34">
        <v>0.1</v>
      </c>
      <c r="AT124" s="34">
        <v>0.1</v>
      </c>
      <c r="AU124" s="34">
        <v>0.1</v>
      </c>
      <c r="AV124" s="128">
        <f>AV123/AQ123-1</f>
        <v>0.10000000000000009</v>
      </c>
    </row>
    <row r="125" spans="2:48" outlineLevel="1" x14ac:dyDescent="0.3">
      <c r="B125" s="443" t="s">
        <v>100</v>
      </c>
      <c r="C125" s="444"/>
      <c r="D125" s="48">
        <v>13.4</v>
      </c>
      <c r="E125" s="48">
        <v>15.9</v>
      </c>
      <c r="F125" s="48">
        <v>22.4</v>
      </c>
      <c r="G125" s="105">
        <v>15.5</v>
      </c>
      <c r="H125" s="170"/>
      <c r="I125" s="105">
        <v>20.7</v>
      </c>
      <c r="J125" s="105">
        <v>10.199999999999999</v>
      </c>
      <c r="K125" s="105">
        <v>20.8</v>
      </c>
      <c r="L125" s="105">
        <v>11.6</v>
      </c>
      <c r="M125" s="31">
        <f>SUM(I125:L125)</f>
        <v>63.300000000000004</v>
      </c>
      <c r="N125" s="105">
        <v>19</v>
      </c>
      <c r="O125" s="105">
        <v>19.399999999999999</v>
      </c>
      <c r="P125" s="105">
        <v>19.8</v>
      </c>
      <c r="Q125" s="105">
        <v>28.2</v>
      </c>
      <c r="R125" s="31">
        <f>SUM(N125:Q125)</f>
        <v>86.4</v>
      </c>
      <c r="S125" s="105">
        <v>22.9</v>
      </c>
      <c r="T125" s="105">
        <v>20.8</v>
      </c>
      <c r="U125" s="105">
        <v>24.3</v>
      </c>
      <c r="V125" s="95">
        <v>24.3</v>
      </c>
      <c r="W125" s="31">
        <f>SUM(S125:V125)</f>
        <v>92.3</v>
      </c>
      <c r="X125" s="95">
        <v>24.3</v>
      </c>
      <c r="Y125" s="95">
        <v>24.3</v>
      </c>
      <c r="Z125" s="95">
        <v>24.3</v>
      </c>
      <c r="AA125" s="95">
        <v>24.3</v>
      </c>
      <c r="AB125" s="31">
        <f>SUM(X125:AA125)</f>
        <v>97.2</v>
      </c>
      <c r="AC125" s="95">
        <v>24.3</v>
      </c>
      <c r="AD125" s="95">
        <v>24.3</v>
      </c>
      <c r="AE125" s="95">
        <v>24.3</v>
      </c>
      <c r="AF125" s="95">
        <v>24.3</v>
      </c>
      <c r="AG125" s="31">
        <f>SUM(AC125:AF125)</f>
        <v>97.2</v>
      </c>
      <c r="AH125" s="95">
        <v>24.3</v>
      </c>
      <c r="AI125" s="95">
        <v>24.3</v>
      </c>
      <c r="AJ125" s="95">
        <v>24.3</v>
      </c>
      <c r="AK125" s="95">
        <v>24.3</v>
      </c>
      <c r="AL125" s="31">
        <f>SUM(AH125:AK125)</f>
        <v>97.2</v>
      </c>
      <c r="AM125" s="95">
        <v>24.3</v>
      </c>
      <c r="AN125" s="95">
        <v>24.3</v>
      </c>
      <c r="AO125" s="95">
        <v>24.3</v>
      </c>
      <c r="AP125" s="95">
        <v>24.3</v>
      </c>
      <c r="AQ125" s="31">
        <f>SUM(AM125:AP125)</f>
        <v>97.2</v>
      </c>
      <c r="AR125" s="95">
        <v>24.3</v>
      </c>
      <c r="AS125" s="95">
        <v>24.3</v>
      </c>
      <c r="AT125" s="95">
        <v>24.3</v>
      </c>
      <c r="AU125" s="95">
        <v>24.3</v>
      </c>
      <c r="AV125" s="31">
        <f>SUM(AR125:AU125)</f>
        <v>97.2</v>
      </c>
    </row>
    <row r="126" spans="2:48" outlineLevel="1" x14ac:dyDescent="0.3">
      <c r="B126" s="180" t="s">
        <v>33</v>
      </c>
      <c r="C126" s="18"/>
      <c r="D126" s="48">
        <v>3.2</v>
      </c>
      <c r="E126" s="48">
        <v>4.3</v>
      </c>
      <c r="F126" s="48">
        <v>5.8</v>
      </c>
      <c r="G126" s="105">
        <f>5.2+0.1</f>
        <v>5.3</v>
      </c>
      <c r="H126" s="170"/>
      <c r="I126" s="105">
        <v>2.8</v>
      </c>
      <c r="J126" s="105">
        <v>3.7</v>
      </c>
      <c r="K126" s="105">
        <v>4</v>
      </c>
      <c r="L126" s="105">
        <v>3.4</v>
      </c>
      <c r="M126" s="31">
        <f t="shared" ref="M126:M129" si="436">SUM(I126:L126)</f>
        <v>13.9</v>
      </c>
      <c r="N126" s="105">
        <v>3.6</v>
      </c>
      <c r="O126" s="105">
        <v>3.4</v>
      </c>
      <c r="P126" s="105">
        <v>3.3</v>
      </c>
      <c r="Q126" s="105">
        <v>4.5</v>
      </c>
      <c r="R126" s="31">
        <f t="shared" ref="R126:R129" si="437">SUM(N126:Q126)</f>
        <v>14.8</v>
      </c>
      <c r="S126" s="105">
        <v>2.9</v>
      </c>
      <c r="T126" s="105">
        <v>4.4000000000000004</v>
      </c>
      <c r="U126" s="105">
        <v>5.9</v>
      </c>
      <c r="V126" s="95">
        <v>5.9</v>
      </c>
      <c r="W126" s="31">
        <f t="shared" ref="W126:W129" si="438">SUM(S126:V126)</f>
        <v>19.100000000000001</v>
      </c>
      <c r="X126" s="95">
        <v>5.9</v>
      </c>
      <c r="Y126" s="95">
        <v>5.9</v>
      </c>
      <c r="Z126" s="95">
        <v>5.9</v>
      </c>
      <c r="AA126" s="95">
        <v>5.9</v>
      </c>
      <c r="AB126" s="31">
        <f t="shared" ref="AB126:AB129" si="439">SUM(X126:AA126)</f>
        <v>23.6</v>
      </c>
      <c r="AC126" s="95">
        <v>5.9</v>
      </c>
      <c r="AD126" s="95">
        <v>5.9</v>
      </c>
      <c r="AE126" s="95">
        <v>5.9</v>
      </c>
      <c r="AF126" s="95">
        <v>5.9</v>
      </c>
      <c r="AG126" s="31">
        <f t="shared" ref="AG126:AG129" si="440">SUM(AC126:AF126)</f>
        <v>23.6</v>
      </c>
      <c r="AH126" s="95">
        <v>5.9</v>
      </c>
      <c r="AI126" s="95">
        <v>5.9</v>
      </c>
      <c r="AJ126" s="95">
        <v>5.9</v>
      </c>
      <c r="AK126" s="95">
        <v>5.9</v>
      </c>
      <c r="AL126" s="31">
        <f t="shared" ref="AL126:AL129" si="441">SUM(AH126:AK126)</f>
        <v>23.6</v>
      </c>
      <c r="AM126" s="95">
        <v>5.9</v>
      </c>
      <c r="AN126" s="95">
        <v>5.9</v>
      </c>
      <c r="AO126" s="95">
        <v>5.9</v>
      </c>
      <c r="AP126" s="95">
        <v>5.9</v>
      </c>
      <c r="AQ126" s="31">
        <f t="shared" ref="AQ126:AQ129" si="442">SUM(AM126:AP126)</f>
        <v>23.6</v>
      </c>
      <c r="AR126" s="95">
        <v>5.9</v>
      </c>
      <c r="AS126" s="95">
        <v>5.9</v>
      </c>
      <c r="AT126" s="95">
        <v>5.9</v>
      </c>
      <c r="AU126" s="95">
        <v>5.9</v>
      </c>
      <c r="AV126" s="31">
        <f t="shared" ref="AV126:AV129" si="443">SUM(AR126:AU126)</f>
        <v>23.6</v>
      </c>
    </row>
    <row r="127" spans="2:48" outlineLevel="1" x14ac:dyDescent="0.3">
      <c r="B127" s="180" t="s">
        <v>34</v>
      </c>
      <c r="C127" s="18"/>
      <c r="D127" s="358">
        <v>39.5</v>
      </c>
      <c r="E127" s="358">
        <v>40.5</v>
      </c>
      <c r="F127" s="358">
        <v>39.6</v>
      </c>
      <c r="G127" s="358">
        <v>37.299999999999997</v>
      </c>
      <c r="H127" s="130"/>
      <c r="I127" s="358">
        <v>34.9</v>
      </c>
      <c r="J127" s="358">
        <v>34.5</v>
      </c>
      <c r="K127" s="358">
        <v>40.9</v>
      </c>
      <c r="L127" s="358">
        <v>39.5</v>
      </c>
      <c r="M127" s="126">
        <f t="shared" si="436"/>
        <v>149.80000000000001</v>
      </c>
      <c r="N127" s="358">
        <v>37</v>
      </c>
      <c r="O127" s="358">
        <v>37</v>
      </c>
      <c r="P127" s="358">
        <v>35.5</v>
      </c>
      <c r="Q127" s="358">
        <v>32.9</v>
      </c>
      <c r="R127" s="126">
        <f t="shared" si="437"/>
        <v>142.4</v>
      </c>
      <c r="S127" s="358">
        <v>32.9</v>
      </c>
      <c r="T127" s="358">
        <v>32.299999999999997</v>
      </c>
      <c r="U127" s="358">
        <v>30.6</v>
      </c>
      <c r="V127" s="358">
        <f>(U127/(U66+U99+U114+U127))*'CFS (Bull-Case)'!V7*0.95</f>
        <v>31.661062128730872</v>
      </c>
      <c r="W127" s="126">
        <f t="shared" si="438"/>
        <v>127.46106212873086</v>
      </c>
      <c r="X127" s="358">
        <f>(V127/(V66+V99+V114+V127))*'CFS (Bull-Case)'!X7*0.95</f>
        <v>32.186783408474412</v>
      </c>
      <c r="Y127" s="358">
        <f>(X127/(X66+X99+X114+X127))*'CFS (Bull-Case)'!Y7*0.95</f>
        <v>33.56576602341385</v>
      </c>
      <c r="Z127" s="358">
        <f>(Y127/(Y66+Y99+Y114+Y127))*'CFS (Bull-Case)'!Z7*0.95</f>
        <v>34.716175718481665</v>
      </c>
      <c r="AA127" s="358">
        <f>(Z127/(Z66+Z99+Z114+Z127))*'CFS (Bull-Case)'!AA7*0.95</f>
        <v>36.103951397768689</v>
      </c>
      <c r="AB127" s="126">
        <f t="shared" si="439"/>
        <v>136.57267654813862</v>
      </c>
      <c r="AC127" s="358">
        <f>(AA127/(AA66+AA99+AA114+AA127))*'CFS (Bull-Case)'!AC7*0.95</f>
        <v>37.507731543432229</v>
      </c>
      <c r="AD127" s="358">
        <f>(AC127/(AC66+AC99+AC114+AC127))*'CFS (Bull-Case)'!AD7*0.95</f>
        <v>38.596770997193921</v>
      </c>
      <c r="AE127" s="358">
        <f>(AD127/(AD66+AD99+AD114+AD127))*'CFS (Bull-Case)'!AE7*0.95</f>
        <v>39.430033049951113</v>
      </c>
      <c r="AF127" s="358">
        <f>(AE127/(AE66+AE99+AE114+AE127))*'CFS (Bull-Case)'!AF7*0.95</f>
        <v>40.521512877834738</v>
      </c>
      <c r="AG127" s="126">
        <f t="shared" si="440"/>
        <v>156.056048468412</v>
      </c>
      <c r="AH127" s="358">
        <f>(AF127/(AF66+AF99+AF114+AF127))*'CFS (Bull-Case)'!AH7*0.95</f>
        <v>41.636651930761019</v>
      </c>
      <c r="AI127" s="358">
        <f>(AH127/(AH66+AH99+AH114+AH127))*'CFS (Bull-Case)'!AI7*0.95</f>
        <v>42.471411281996303</v>
      </c>
      <c r="AJ127" s="358">
        <f>(AI127/(AI66+AI99+AI114+AI127))*'CFS (Bull-Case)'!AJ7*0.95</f>
        <v>43.069777755436817</v>
      </c>
      <c r="AK127" s="358">
        <f>(AJ127/(AJ66+AJ99+AJ114+AJ127))*'CFS (Bull-Case)'!AK7*0.95</f>
        <v>43.940242091186953</v>
      </c>
      <c r="AL127" s="126">
        <f t="shared" si="441"/>
        <v>171.11808305938109</v>
      </c>
      <c r="AM127" s="358">
        <f>(AK127/(AK66+AK99+AK114+AK127))*'CFS (Bull-Case)'!AM7*0.95</f>
        <v>44.850773454853993</v>
      </c>
      <c r="AN127" s="358">
        <f>(AM127/(AM66+AM99+AM114+AM127))*'CFS (Bull-Case)'!AN7*0.95</f>
        <v>45.82559511857955</v>
      </c>
      <c r="AO127" s="358">
        <f>(AN127/(AN66+AN99+AN114+AN127))*'CFS (Bull-Case)'!AO7*0.95</f>
        <v>46.520576243854549</v>
      </c>
      <c r="AP127" s="358">
        <f>(AO127/(AO66+AO99+AO114+AO127))*'CFS (Bull-Case)'!AP7*0.95</f>
        <v>47.496497603952847</v>
      </c>
      <c r="AQ127" s="126">
        <f t="shared" si="442"/>
        <v>184.69344242124095</v>
      </c>
      <c r="AR127" s="358">
        <f>(AP127/(AP66+AP99+AP114+AP127))*'CFS (Bull-Case)'!AR7*0.95</f>
        <v>48.502779390280772</v>
      </c>
      <c r="AS127" s="358">
        <f>(AR127/(AR66+AR99+AR114+AR127))*'CFS (Bull-Case)'!AS7*0.95</f>
        <v>49.496336659741594</v>
      </c>
      <c r="AT127" s="358">
        <f>(AS127/(AS66+AS99+AS114+AS127))*'CFS (Bull-Case)'!AT7*0.95</f>
        <v>50.191971493865729</v>
      </c>
      <c r="AU127" s="358">
        <f>(AT127/(AT66+AT99+AT114+AT127))*'CFS (Bull-Case)'!AU7*0.95</f>
        <v>51.188258887078895</v>
      </c>
      <c r="AV127" s="126">
        <f t="shared" si="443"/>
        <v>199.37934643096699</v>
      </c>
    </row>
    <row r="128" spans="2:48" outlineLevel="1" x14ac:dyDescent="0.3">
      <c r="B128" s="180" t="s">
        <v>35</v>
      </c>
      <c r="C128" s="18"/>
      <c r="D128" s="48">
        <v>300.39999999999998</v>
      </c>
      <c r="E128" s="48">
        <v>303.89999999999998</v>
      </c>
      <c r="F128" s="48">
        <v>299</v>
      </c>
      <c r="G128" s="105">
        <v>267.39999999999998</v>
      </c>
      <c r="H128" s="170"/>
      <c r="I128" s="105">
        <v>292.2</v>
      </c>
      <c r="J128" s="105">
        <v>271.60000000000002</v>
      </c>
      <c r="K128" s="105">
        <v>269.10000000000002</v>
      </c>
      <c r="L128" s="105">
        <v>288.8</v>
      </c>
      <c r="M128" s="31">
        <f t="shared" si="436"/>
        <v>1121.7</v>
      </c>
      <c r="N128" s="105">
        <v>316.5</v>
      </c>
      <c r="O128" s="105">
        <v>304.60000000000002</v>
      </c>
      <c r="P128" s="105">
        <v>326.5</v>
      </c>
      <c r="Q128" s="105">
        <v>321</v>
      </c>
      <c r="R128" s="31">
        <f t="shared" si="437"/>
        <v>1268.5999999999999</v>
      </c>
      <c r="S128" s="105">
        <v>354.5</v>
      </c>
      <c r="T128" s="105">
        <v>328.1</v>
      </c>
      <c r="U128" s="105">
        <v>326.10000000000002</v>
      </c>
      <c r="V128" s="95">
        <v>332.42500000000001</v>
      </c>
      <c r="W128" s="31">
        <f t="shared" si="438"/>
        <v>1341.125</v>
      </c>
      <c r="X128" s="95">
        <v>332.42500000000001</v>
      </c>
      <c r="Y128" s="95">
        <v>332.42500000000001</v>
      </c>
      <c r="Z128" s="95">
        <v>332.42500000000001</v>
      </c>
      <c r="AA128" s="95">
        <v>332.42500000000001</v>
      </c>
      <c r="AB128" s="31">
        <f t="shared" si="439"/>
        <v>1329.7</v>
      </c>
      <c r="AC128" s="95">
        <v>332.42500000000001</v>
      </c>
      <c r="AD128" s="95">
        <v>332.42500000000001</v>
      </c>
      <c r="AE128" s="95">
        <v>332.42500000000001</v>
      </c>
      <c r="AF128" s="95">
        <v>332.42500000000001</v>
      </c>
      <c r="AG128" s="31">
        <f t="shared" si="440"/>
        <v>1329.7</v>
      </c>
      <c r="AH128" s="95">
        <v>332.42500000000001</v>
      </c>
      <c r="AI128" s="95">
        <v>332.42500000000001</v>
      </c>
      <c r="AJ128" s="95">
        <v>332.42500000000001</v>
      </c>
      <c r="AK128" s="95">
        <v>332.42500000000001</v>
      </c>
      <c r="AL128" s="31">
        <f t="shared" si="441"/>
        <v>1329.7</v>
      </c>
      <c r="AM128" s="95">
        <v>332.42500000000001</v>
      </c>
      <c r="AN128" s="95">
        <v>332.42500000000001</v>
      </c>
      <c r="AO128" s="95">
        <v>332.42500000000001</v>
      </c>
      <c r="AP128" s="95">
        <v>332.42500000000001</v>
      </c>
      <c r="AQ128" s="31">
        <f t="shared" si="442"/>
        <v>1329.7</v>
      </c>
      <c r="AR128" s="95">
        <v>332.42500000000001</v>
      </c>
      <c r="AS128" s="95">
        <v>332.42500000000001</v>
      </c>
      <c r="AT128" s="95">
        <v>332.42500000000001</v>
      </c>
      <c r="AU128" s="95">
        <v>332.42500000000001</v>
      </c>
      <c r="AV128" s="31">
        <f t="shared" si="443"/>
        <v>1329.7</v>
      </c>
    </row>
    <row r="129" spans="2:48" ht="16.2" outlineLevel="1" x14ac:dyDescent="0.45">
      <c r="B129" s="180" t="s">
        <v>42</v>
      </c>
      <c r="C129" s="18"/>
      <c r="D129" s="119">
        <v>13.9</v>
      </c>
      <c r="E129" s="119">
        <v>0.6</v>
      </c>
      <c r="F129" s="119">
        <v>6</v>
      </c>
      <c r="G129" s="119">
        <v>-0.9</v>
      </c>
      <c r="H129" s="131"/>
      <c r="I129" s="119">
        <v>0.3</v>
      </c>
      <c r="J129" s="119">
        <v>0</v>
      </c>
      <c r="K129" s="119">
        <v>22.1</v>
      </c>
      <c r="L129" s="119">
        <v>0</v>
      </c>
      <c r="M129" s="193">
        <f t="shared" si="436"/>
        <v>22.400000000000002</v>
      </c>
      <c r="N129" s="119">
        <v>0</v>
      </c>
      <c r="O129" s="119">
        <v>0</v>
      </c>
      <c r="P129" s="119">
        <v>0</v>
      </c>
      <c r="Q129" s="119">
        <v>15</v>
      </c>
      <c r="R129" s="193">
        <f t="shared" si="437"/>
        <v>15</v>
      </c>
      <c r="S129" s="119">
        <v>0</v>
      </c>
      <c r="T129" s="119">
        <v>0</v>
      </c>
      <c r="U129" s="119">
        <v>2</v>
      </c>
      <c r="V129" s="119">
        <f>IFERROR((V163*(U129/U163)),0)</f>
        <v>7.1428571428571423</v>
      </c>
      <c r="W129" s="193">
        <f t="shared" si="438"/>
        <v>9.1428571428571423</v>
      </c>
      <c r="X129" s="119">
        <f>IFERROR((X163*(V129/V163)),0)</f>
        <v>7.1428571428571423</v>
      </c>
      <c r="Y129" s="119">
        <f t="shared" ref="Y129:AA129" si="444">IFERROR((Y163*(X129/X163)),0)</f>
        <v>0</v>
      </c>
      <c r="Z129" s="119">
        <f t="shared" si="444"/>
        <v>0</v>
      </c>
      <c r="AA129" s="119">
        <f t="shared" si="444"/>
        <v>0</v>
      </c>
      <c r="AB129" s="193">
        <f t="shared" si="439"/>
        <v>7.1428571428571423</v>
      </c>
      <c r="AC129" s="119">
        <f>IFERROR((AC163*(AA129/AA163)),0)</f>
        <v>0</v>
      </c>
      <c r="AD129" s="119">
        <f t="shared" ref="AD129:AF129" si="445">IFERROR((AD163*(AC129/AC163)),0)</f>
        <v>0</v>
      </c>
      <c r="AE129" s="119">
        <f t="shared" si="445"/>
        <v>0</v>
      </c>
      <c r="AF129" s="119">
        <f t="shared" si="445"/>
        <v>0</v>
      </c>
      <c r="AG129" s="193">
        <f t="shared" si="440"/>
        <v>0</v>
      </c>
      <c r="AH129" s="119">
        <f>IFERROR((AH163*(AF129/AF163)),0)</f>
        <v>0</v>
      </c>
      <c r="AI129" s="119">
        <f t="shared" ref="AI129:AK129" si="446">IFERROR((AI163*(AH129/AH163)),0)</f>
        <v>0</v>
      </c>
      <c r="AJ129" s="119">
        <f t="shared" si="446"/>
        <v>0</v>
      </c>
      <c r="AK129" s="119">
        <f t="shared" si="446"/>
        <v>0</v>
      </c>
      <c r="AL129" s="193">
        <f t="shared" si="441"/>
        <v>0</v>
      </c>
      <c r="AM129" s="119">
        <f>IFERROR((AM163*(AK129/AK163)),0)</f>
        <v>0</v>
      </c>
      <c r="AN129" s="119">
        <f t="shared" ref="AN129:AP129" si="447">IFERROR((AN163*(AM129/AM163)),0)</f>
        <v>0</v>
      </c>
      <c r="AO129" s="119">
        <f t="shared" si="447"/>
        <v>0</v>
      </c>
      <c r="AP129" s="119">
        <f t="shared" si="447"/>
        <v>0</v>
      </c>
      <c r="AQ129" s="193">
        <f t="shared" si="442"/>
        <v>0</v>
      </c>
      <c r="AR129" s="119">
        <f>IFERROR((AR163*(AP129/AP163)),0)</f>
        <v>0</v>
      </c>
      <c r="AS129" s="119">
        <f t="shared" ref="AS129:AU129" si="448">IFERROR((AS163*(AR129/AR163)),0)</f>
        <v>0</v>
      </c>
      <c r="AT129" s="119">
        <f t="shared" si="448"/>
        <v>0</v>
      </c>
      <c r="AU129" s="119">
        <f t="shared" si="448"/>
        <v>0</v>
      </c>
      <c r="AV129" s="193">
        <f t="shared" si="443"/>
        <v>0</v>
      </c>
    </row>
    <row r="130" spans="2:48" outlineLevel="1" x14ac:dyDescent="0.3">
      <c r="B130" s="46" t="s">
        <v>56</v>
      </c>
      <c r="C130" s="19"/>
      <c r="D130" s="103">
        <f>SUM(D125:D129)</f>
        <v>370.4</v>
      </c>
      <c r="E130" s="103">
        <f>SUM(E125:E129)</f>
        <v>365.2</v>
      </c>
      <c r="F130" s="103">
        <f>SUM(F125:F129)</f>
        <v>372.8</v>
      </c>
      <c r="G130" s="103">
        <f>SUM(G125:G129)</f>
        <v>324.60000000000002</v>
      </c>
      <c r="H130" s="130"/>
      <c r="I130" s="103">
        <f t="shared" ref="I130:AV130" si="449">SUM(I125:I129)</f>
        <v>350.9</v>
      </c>
      <c r="J130" s="103">
        <f t="shared" si="449"/>
        <v>320</v>
      </c>
      <c r="K130" s="103">
        <f t="shared" si="449"/>
        <v>356.90000000000003</v>
      </c>
      <c r="L130" s="50">
        <f t="shared" si="449"/>
        <v>343.3</v>
      </c>
      <c r="M130" s="51">
        <f t="shared" si="449"/>
        <v>1371.1000000000001</v>
      </c>
      <c r="N130" s="50">
        <f t="shared" si="449"/>
        <v>376.1</v>
      </c>
      <c r="O130" s="50">
        <f t="shared" si="449"/>
        <v>364.40000000000003</v>
      </c>
      <c r="P130" s="50">
        <f t="shared" si="449"/>
        <v>385.1</v>
      </c>
      <c r="Q130" s="50">
        <f t="shared" si="449"/>
        <v>401.6</v>
      </c>
      <c r="R130" s="51">
        <f t="shared" si="449"/>
        <v>1527.1999999999998</v>
      </c>
      <c r="S130" s="50">
        <f t="shared" si="449"/>
        <v>413.2</v>
      </c>
      <c r="T130" s="50">
        <f t="shared" si="449"/>
        <v>385.6</v>
      </c>
      <c r="U130" s="50">
        <f t="shared" si="449"/>
        <v>388.90000000000003</v>
      </c>
      <c r="V130" s="50">
        <f t="shared" si="449"/>
        <v>401.42891927158809</v>
      </c>
      <c r="W130" s="51">
        <f t="shared" si="449"/>
        <v>1589.1289192715878</v>
      </c>
      <c r="X130" s="50">
        <f t="shared" si="449"/>
        <v>401.95464055133158</v>
      </c>
      <c r="Y130" s="50">
        <f t="shared" si="449"/>
        <v>396.19076602341386</v>
      </c>
      <c r="Z130" s="50">
        <f t="shared" si="449"/>
        <v>397.34117571848168</v>
      </c>
      <c r="AA130" s="50">
        <f t="shared" si="449"/>
        <v>398.7289513977687</v>
      </c>
      <c r="AB130" s="51">
        <f t="shared" si="449"/>
        <v>1594.2155336909957</v>
      </c>
      <c r="AC130" s="50">
        <f t="shared" si="449"/>
        <v>400.13273154343221</v>
      </c>
      <c r="AD130" s="50">
        <f t="shared" si="449"/>
        <v>401.22177099719397</v>
      </c>
      <c r="AE130" s="50">
        <f t="shared" si="449"/>
        <v>402.05503304995113</v>
      </c>
      <c r="AF130" s="50">
        <f t="shared" si="449"/>
        <v>403.14651287783477</v>
      </c>
      <c r="AG130" s="51">
        <f t="shared" si="449"/>
        <v>1606.556048468412</v>
      </c>
      <c r="AH130" s="50">
        <f t="shared" si="449"/>
        <v>404.26165193076105</v>
      </c>
      <c r="AI130" s="50">
        <f t="shared" si="449"/>
        <v>405.09641128199632</v>
      </c>
      <c r="AJ130" s="50">
        <f t="shared" si="449"/>
        <v>405.6947777554368</v>
      </c>
      <c r="AK130" s="50">
        <f t="shared" si="449"/>
        <v>406.56524209118697</v>
      </c>
      <c r="AL130" s="51">
        <f t="shared" si="449"/>
        <v>1621.6180830593812</v>
      </c>
      <c r="AM130" s="50">
        <f t="shared" si="449"/>
        <v>407.47577345485399</v>
      </c>
      <c r="AN130" s="50">
        <f t="shared" si="449"/>
        <v>408.4505951185796</v>
      </c>
      <c r="AO130" s="50">
        <f t="shared" si="449"/>
        <v>409.14557624385458</v>
      </c>
      <c r="AP130" s="50">
        <f t="shared" si="449"/>
        <v>410.12149760395289</v>
      </c>
      <c r="AQ130" s="51">
        <f t="shared" si="449"/>
        <v>1635.1934424212409</v>
      </c>
      <c r="AR130" s="50">
        <f t="shared" si="449"/>
        <v>411.12777939028081</v>
      </c>
      <c r="AS130" s="50">
        <f t="shared" si="449"/>
        <v>412.12133665974159</v>
      </c>
      <c r="AT130" s="50">
        <f t="shared" si="449"/>
        <v>412.81697149386571</v>
      </c>
      <c r="AU130" s="50">
        <f t="shared" si="449"/>
        <v>413.81325888707892</v>
      </c>
      <c r="AV130" s="51">
        <f t="shared" si="449"/>
        <v>1649.879346430967</v>
      </c>
    </row>
    <row r="131" spans="2:48" outlineLevel="1" x14ac:dyDescent="0.3">
      <c r="B131" s="46" t="s">
        <v>57</v>
      </c>
      <c r="C131" s="44"/>
      <c r="D131" s="156">
        <f>D123-D130</f>
        <v>-358.79999999999995</v>
      </c>
      <c r="E131" s="156">
        <f>E123-E130</f>
        <v>-349.4</v>
      </c>
      <c r="F131" s="156">
        <f>F123-F130</f>
        <v>-349.5</v>
      </c>
      <c r="G131" s="156">
        <f>G123-G130</f>
        <v>-309.20000000000005</v>
      </c>
      <c r="H131" s="158"/>
      <c r="I131" s="156">
        <f t="shared" ref="I131:AV131" si="450">I123-I130</f>
        <v>-330.4</v>
      </c>
      <c r="J131" s="156">
        <f t="shared" si="450"/>
        <v>-308</v>
      </c>
      <c r="K131" s="156">
        <f t="shared" si="450"/>
        <v>-337.20000000000005</v>
      </c>
      <c r="L131" s="74">
        <f t="shared" si="450"/>
        <v>-329.40000000000003</v>
      </c>
      <c r="M131" s="194">
        <f t="shared" si="450"/>
        <v>-1305.0000000000002</v>
      </c>
      <c r="N131" s="74">
        <f t="shared" si="450"/>
        <v>-355.6</v>
      </c>
      <c r="O131" s="74">
        <f t="shared" si="450"/>
        <v>-341.8</v>
      </c>
      <c r="P131" s="74">
        <f t="shared" si="450"/>
        <v>-361.3</v>
      </c>
      <c r="Q131" s="74">
        <f t="shared" si="450"/>
        <v>-370.8</v>
      </c>
      <c r="R131" s="194">
        <f t="shared" si="450"/>
        <v>-1429.4999999999998</v>
      </c>
      <c r="S131" s="74">
        <f t="shared" si="450"/>
        <v>-388.09999999999997</v>
      </c>
      <c r="T131" s="74">
        <f t="shared" si="450"/>
        <v>-361.20000000000005</v>
      </c>
      <c r="U131" s="74">
        <f t="shared" si="450"/>
        <v>-361.6</v>
      </c>
      <c r="V131" s="74">
        <f t="shared" si="450"/>
        <v>-367.54891927158809</v>
      </c>
      <c r="W131" s="194">
        <f t="shared" si="450"/>
        <v>-1478.4489192715878</v>
      </c>
      <c r="X131" s="74">
        <f t="shared" si="450"/>
        <v>-374.34464055133157</v>
      </c>
      <c r="Y131" s="74">
        <f t="shared" si="450"/>
        <v>-369.35076602341388</v>
      </c>
      <c r="Z131" s="74">
        <f t="shared" si="450"/>
        <v>-367.31117571848165</v>
      </c>
      <c r="AA131" s="74">
        <f t="shared" si="450"/>
        <v>-361.46095139776867</v>
      </c>
      <c r="AB131" s="194">
        <f t="shared" si="450"/>
        <v>-1472.4675336909957</v>
      </c>
      <c r="AC131" s="74">
        <f t="shared" si="450"/>
        <v>-369.76173154343223</v>
      </c>
      <c r="AD131" s="74">
        <f t="shared" si="450"/>
        <v>-371.69777099719397</v>
      </c>
      <c r="AE131" s="74">
        <f t="shared" si="450"/>
        <v>-369.02203304995112</v>
      </c>
      <c r="AF131" s="74">
        <f t="shared" si="450"/>
        <v>-362.15171287783477</v>
      </c>
      <c r="AG131" s="194">
        <f t="shared" si="450"/>
        <v>-1472.6332484684119</v>
      </c>
      <c r="AH131" s="74">
        <f t="shared" si="450"/>
        <v>-370.85355193076106</v>
      </c>
      <c r="AI131" s="74">
        <f t="shared" si="450"/>
        <v>-372.62001128199631</v>
      </c>
      <c r="AJ131" s="74">
        <f t="shared" si="450"/>
        <v>-369.35847775543681</v>
      </c>
      <c r="AK131" s="74">
        <f t="shared" si="450"/>
        <v>-361.47096209118695</v>
      </c>
      <c r="AL131" s="194">
        <f t="shared" si="450"/>
        <v>-1474.3030030593811</v>
      </c>
      <c r="AM131" s="74">
        <f t="shared" si="450"/>
        <v>-370.72686345485397</v>
      </c>
      <c r="AN131" s="74">
        <f t="shared" si="450"/>
        <v>-372.7265551185796</v>
      </c>
      <c r="AO131" s="74">
        <f t="shared" si="450"/>
        <v>-369.17564624385454</v>
      </c>
      <c r="AP131" s="74">
        <f t="shared" si="450"/>
        <v>-360.51778960395285</v>
      </c>
      <c r="AQ131" s="194">
        <f t="shared" si="450"/>
        <v>-1473.1468544212407</v>
      </c>
      <c r="AR131" s="74">
        <f t="shared" si="450"/>
        <v>-370.70397839028078</v>
      </c>
      <c r="AS131" s="74">
        <f t="shared" si="450"/>
        <v>-372.82489265974158</v>
      </c>
      <c r="AT131" s="74">
        <f t="shared" si="450"/>
        <v>-368.8500484938657</v>
      </c>
      <c r="AU131" s="74">
        <f t="shared" si="450"/>
        <v>-359.24918008707891</v>
      </c>
      <c r="AV131" s="194">
        <f t="shared" si="450"/>
        <v>-1471.628099630967</v>
      </c>
    </row>
    <row r="132" spans="2:48" ht="17.399999999999999" x14ac:dyDescent="0.45">
      <c r="B132" s="433" t="s">
        <v>14</v>
      </c>
      <c r="C132" s="434"/>
      <c r="D132" s="14" t="s">
        <v>19</v>
      </c>
      <c r="E132" s="14" t="s">
        <v>81</v>
      </c>
      <c r="F132" s="14" t="s">
        <v>85</v>
      </c>
      <c r="G132" s="14" t="s">
        <v>95</v>
      </c>
      <c r="H132" s="40" t="s">
        <v>96</v>
      </c>
      <c r="I132" s="14" t="s">
        <v>97</v>
      </c>
      <c r="J132" s="14" t="s">
        <v>98</v>
      </c>
      <c r="K132" s="14" t="s">
        <v>99</v>
      </c>
      <c r="L132" s="14" t="s">
        <v>142</v>
      </c>
      <c r="M132" s="40" t="s">
        <v>143</v>
      </c>
      <c r="N132" s="14" t="s">
        <v>149</v>
      </c>
      <c r="O132" s="14" t="s">
        <v>157</v>
      </c>
      <c r="P132" s="14" t="s">
        <v>159</v>
      </c>
      <c r="Q132" s="14" t="s">
        <v>172</v>
      </c>
      <c r="R132" s="40" t="s">
        <v>173</v>
      </c>
      <c r="S132" s="14" t="s">
        <v>188</v>
      </c>
      <c r="T132" s="14" t="s">
        <v>189</v>
      </c>
      <c r="U132" s="14" t="s">
        <v>204</v>
      </c>
      <c r="V132" s="12" t="s">
        <v>25</v>
      </c>
      <c r="W132" s="42" t="s">
        <v>26</v>
      </c>
      <c r="X132" s="12" t="s">
        <v>27</v>
      </c>
      <c r="Y132" s="12" t="s">
        <v>28</v>
      </c>
      <c r="Z132" s="12" t="s">
        <v>29</v>
      </c>
      <c r="AA132" s="12" t="s">
        <v>30</v>
      </c>
      <c r="AB132" s="42" t="s">
        <v>31</v>
      </c>
      <c r="AC132" s="12" t="s">
        <v>90</v>
      </c>
      <c r="AD132" s="12" t="s">
        <v>91</v>
      </c>
      <c r="AE132" s="12" t="s">
        <v>92</v>
      </c>
      <c r="AF132" s="12" t="s">
        <v>93</v>
      </c>
      <c r="AG132" s="42" t="s">
        <v>94</v>
      </c>
      <c r="AH132" s="12" t="s">
        <v>109</v>
      </c>
      <c r="AI132" s="12" t="s">
        <v>110</v>
      </c>
      <c r="AJ132" s="12" t="s">
        <v>111</v>
      </c>
      <c r="AK132" s="12" t="s">
        <v>112</v>
      </c>
      <c r="AL132" s="42" t="s">
        <v>113</v>
      </c>
      <c r="AM132" s="12" t="s">
        <v>164</v>
      </c>
      <c r="AN132" s="12" t="s">
        <v>165</v>
      </c>
      <c r="AO132" s="12" t="s">
        <v>166</v>
      </c>
      <c r="AP132" s="12" t="s">
        <v>167</v>
      </c>
      <c r="AQ132" s="42" t="s">
        <v>168</v>
      </c>
      <c r="AR132" s="12" t="s">
        <v>195</v>
      </c>
      <c r="AS132" s="12" t="s">
        <v>196</v>
      </c>
      <c r="AT132" s="12" t="s">
        <v>197</v>
      </c>
      <c r="AU132" s="12" t="s">
        <v>198</v>
      </c>
      <c r="AV132" s="42" t="s">
        <v>199</v>
      </c>
    </row>
    <row r="133" spans="2:48" s="77" customFormat="1" ht="15.6" customHeight="1" outlineLevel="1" x14ac:dyDescent="0.3">
      <c r="B133" s="64" t="s">
        <v>59</v>
      </c>
      <c r="C133" s="78"/>
      <c r="D133" s="65">
        <f>+D45+D78-D5</f>
        <v>0</v>
      </c>
      <c r="E133" s="65">
        <f>+E45+E78-E5</f>
        <v>0</v>
      </c>
      <c r="F133" s="121">
        <f>+F45+F78-F5</f>
        <v>0</v>
      </c>
      <c r="G133" s="65">
        <f>+G45+G78-G5</f>
        <v>0</v>
      </c>
      <c r="H133" s="66"/>
      <c r="I133" s="65">
        <f>+I45+I78-I5</f>
        <v>0</v>
      </c>
      <c r="J133" s="65">
        <f>+J45+J78-J5</f>
        <v>0</v>
      </c>
      <c r="K133" s="121">
        <f>+K45+K78-K5</f>
        <v>0</v>
      </c>
      <c r="L133" s="65">
        <f>+L45+L78-L5</f>
        <v>0</v>
      </c>
      <c r="M133" s="66"/>
      <c r="N133" s="65">
        <f>+N45+N78-N5</f>
        <v>0</v>
      </c>
      <c r="O133" s="65">
        <f>+O45+O78-O5</f>
        <v>0</v>
      </c>
      <c r="P133" s="121">
        <f>+P45+P78-P5</f>
        <v>0</v>
      </c>
      <c r="Q133" s="65">
        <f>+Q45+Q78-Q5</f>
        <v>0</v>
      </c>
      <c r="R133" s="66"/>
      <c r="S133" s="65">
        <f>+S45+S78-S5</f>
        <v>0</v>
      </c>
      <c r="T133" s="65">
        <f>+T45+T78-T5</f>
        <v>0</v>
      </c>
      <c r="U133" s="121">
        <f>+U45+U78-U5</f>
        <v>0</v>
      </c>
      <c r="V133" s="65">
        <f>+V45+V78-V5</f>
        <v>0</v>
      </c>
      <c r="W133" s="66"/>
      <c r="X133" s="65">
        <f>+X45+X78-X5</f>
        <v>0</v>
      </c>
      <c r="Y133" s="65">
        <f>+Y45+Y78-Y5</f>
        <v>0</v>
      </c>
      <c r="Z133" s="121">
        <f>+Z45+Z78-Z5</f>
        <v>0</v>
      </c>
      <c r="AA133" s="65">
        <f>+AA45+AA78-AA5</f>
        <v>0</v>
      </c>
      <c r="AB133" s="66"/>
      <c r="AC133" s="65">
        <f>+AC45+AC78-AC5</f>
        <v>0</v>
      </c>
      <c r="AD133" s="65">
        <f>+AD45+AD78-AD5</f>
        <v>0</v>
      </c>
      <c r="AE133" s="121">
        <f>+AE45+AE78-AE5</f>
        <v>0</v>
      </c>
      <c r="AF133" s="65">
        <f>+AF45+AF78-AF5</f>
        <v>0</v>
      </c>
      <c r="AG133" s="66"/>
      <c r="AH133" s="65">
        <f>+AH45+AH78-AH5</f>
        <v>0</v>
      </c>
      <c r="AI133" s="65">
        <f>+AI45+AI78-AI5</f>
        <v>0</v>
      </c>
      <c r="AJ133" s="121">
        <f>+AJ45+AJ78-AJ5</f>
        <v>0</v>
      </c>
      <c r="AK133" s="65">
        <f>+AK45+AK78-AK5</f>
        <v>0</v>
      </c>
      <c r="AL133" s="66"/>
      <c r="AM133" s="65">
        <f>+AM45+AM78-AM5</f>
        <v>0</v>
      </c>
      <c r="AN133" s="65">
        <f>+AN45+AN78-AN5</f>
        <v>0</v>
      </c>
      <c r="AO133" s="121">
        <f>+AO45+AO78-AO5</f>
        <v>0</v>
      </c>
      <c r="AP133" s="65">
        <f>+AP45+AP78-AP5</f>
        <v>0</v>
      </c>
      <c r="AQ133" s="66"/>
      <c r="AR133" s="65">
        <f>+AR45+AR78-AR5</f>
        <v>0</v>
      </c>
      <c r="AS133" s="65">
        <f>+AS45+AS78-AS5</f>
        <v>0</v>
      </c>
      <c r="AT133" s="121">
        <f>+AT45+AT78-AT5</f>
        <v>0</v>
      </c>
      <c r="AU133" s="65">
        <f>+AU45+AU78-AU5</f>
        <v>0</v>
      </c>
      <c r="AV133" s="66"/>
    </row>
    <row r="134" spans="2:48" s="77" customFormat="1" ht="15.6" customHeight="1" outlineLevel="1" x14ac:dyDescent="0.3">
      <c r="B134" s="64" t="s">
        <v>60</v>
      </c>
      <c r="C134" s="78"/>
      <c r="D134" s="65">
        <f>+D54+D87-D6</f>
        <v>0</v>
      </c>
      <c r="E134" s="65">
        <f>+E54+E87-E6</f>
        <v>0</v>
      </c>
      <c r="F134" s="121">
        <f>+F54+F87-F6</f>
        <v>0</v>
      </c>
      <c r="G134" s="65">
        <f>+G54+G87-G6</f>
        <v>0</v>
      </c>
      <c r="H134" s="66"/>
      <c r="I134" s="65">
        <f>+I54+I87-I6</f>
        <v>0</v>
      </c>
      <c r="J134" s="65">
        <f>+J54+J87-J6</f>
        <v>0</v>
      </c>
      <c r="K134" s="121">
        <f>+K54+K87-K6</f>
        <v>0</v>
      </c>
      <c r="L134" s="65">
        <f>+L54+L87-L6</f>
        <v>0</v>
      </c>
      <c r="M134" s="66"/>
      <c r="N134" s="65">
        <f>+N54+N87-N6</f>
        <v>0</v>
      </c>
      <c r="O134" s="65">
        <f>+O54+O87-O6</f>
        <v>0</v>
      </c>
      <c r="P134" s="121">
        <f>+P54+P87-P6</f>
        <v>0</v>
      </c>
      <c r="Q134" s="65">
        <f>+Q54+Q87-Q6</f>
        <v>0</v>
      </c>
      <c r="R134" s="66"/>
      <c r="S134" s="65">
        <f>+S54+S87-S6</f>
        <v>0</v>
      </c>
      <c r="T134" s="65">
        <f>+T54+T87-T6</f>
        <v>0</v>
      </c>
      <c r="U134" s="121">
        <f>+U54+U87-U6</f>
        <v>0</v>
      </c>
      <c r="V134" s="65">
        <f>+V54+V87-V6</f>
        <v>0</v>
      </c>
      <c r="W134" s="66"/>
      <c r="X134" s="65">
        <f>+X54+X87-X6</f>
        <v>0</v>
      </c>
      <c r="Y134" s="65">
        <f>+Y54+Y87-Y6</f>
        <v>0</v>
      </c>
      <c r="Z134" s="121">
        <f>+Z54+Z87-Z6</f>
        <v>0</v>
      </c>
      <c r="AA134" s="65">
        <f>+AA54+AA87-AA6</f>
        <v>0</v>
      </c>
      <c r="AB134" s="66"/>
      <c r="AC134" s="65">
        <f>+AC54+AC87-AC6</f>
        <v>0</v>
      </c>
      <c r="AD134" s="65">
        <f>+AD54+AD87-AD6</f>
        <v>0</v>
      </c>
      <c r="AE134" s="121">
        <f>+AE54+AE87-AE6</f>
        <v>0</v>
      </c>
      <c r="AF134" s="65">
        <f>+AF54+AF87-AF6</f>
        <v>0</v>
      </c>
      <c r="AG134" s="66"/>
      <c r="AH134" s="65">
        <f>+AH54+AH87-AH6</f>
        <v>0</v>
      </c>
      <c r="AI134" s="65">
        <f>+AI54+AI87-AI6</f>
        <v>0</v>
      </c>
      <c r="AJ134" s="121">
        <f>+AJ54+AJ87-AJ6</f>
        <v>0</v>
      </c>
      <c r="AK134" s="65">
        <f>+AK54+AK87-AK6</f>
        <v>0</v>
      </c>
      <c r="AL134" s="66"/>
      <c r="AM134" s="65">
        <f>+AM54+AM87-AM6</f>
        <v>0</v>
      </c>
      <c r="AN134" s="65">
        <f>+AN54+AN87-AN6</f>
        <v>0</v>
      </c>
      <c r="AO134" s="121">
        <f>+AO54+AO87-AO6</f>
        <v>0</v>
      </c>
      <c r="AP134" s="65">
        <f>+AP54+AP87-AP6</f>
        <v>0</v>
      </c>
      <c r="AQ134" s="66"/>
      <c r="AR134" s="65">
        <f>+AR54+AR87-AR6</f>
        <v>0</v>
      </c>
      <c r="AS134" s="65">
        <f>+AS54+AS87-AS6</f>
        <v>0</v>
      </c>
      <c r="AT134" s="121">
        <f>+AT54+AT87-AT6</f>
        <v>0</v>
      </c>
      <c r="AU134" s="65">
        <f>+AU54+AU87-AU6</f>
        <v>0</v>
      </c>
      <c r="AV134" s="66"/>
    </row>
    <row r="135" spans="2:48" s="77" customFormat="1" ht="15.6" customHeight="1" outlineLevel="1" x14ac:dyDescent="0.3">
      <c r="B135" s="64" t="s">
        <v>61</v>
      </c>
      <c r="C135" s="78"/>
      <c r="D135" s="65">
        <f>+D55+D88+D108+D123-D7</f>
        <v>0</v>
      </c>
      <c r="E135" s="65">
        <f>+E55+E88+E108+E123-E7</f>
        <v>0</v>
      </c>
      <c r="F135" s="121">
        <f>+F55+F88+F108+F123-F7</f>
        <v>0</v>
      </c>
      <c r="G135" s="65">
        <f>+G55+G88+G108+G123-G7</f>
        <v>0</v>
      </c>
      <c r="H135" s="66"/>
      <c r="I135" s="65">
        <f>+I55+I88+I108+I123-I7</f>
        <v>0</v>
      </c>
      <c r="J135" s="65">
        <f>+J55+J88+J108+J123-J7</f>
        <v>0</v>
      </c>
      <c r="K135" s="121">
        <f>+K55+K88+K108+K123-K7</f>
        <v>0</v>
      </c>
      <c r="L135" s="65">
        <f>+L55+L88+L108+L123-L7</f>
        <v>0</v>
      </c>
      <c r="M135" s="66"/>
      <c r="N135" s="65">
        <f>+N55+N88+N108+N123-N7</f>
        <v>0</v>
      </c>
      <c r="O135" s="65">
        <f>+O55+O88+O108+O123-O7</f>
        <v>0</v>
      </c>
      <c r="P135" s="121">
        <f>+P55+P88+P108+P123-P7</f>
        <v>0</v>
      </c>
      <c r="Q135" s="65">
        <f>+Q55+Q88+Q108+Q123-Q7</f>
        <v>0</v>
      </c>
      <c r="R135" s="66"/>
      <c r="S135" s="65">
        <f>+S55+S88+S108+S123-S7</f>
        <v>0</v>
      </c>
      <c r="T135" s="65">
        <f>+T55+T88+T108+T123-T7</f>
        <v>0</v>
      </c>
      <c r="U135" s="121">
        <f>+U55+U88+U108+U123-U7</f>
        <v>0</v>
      </c>
      <c r="V135" s="65">
        <f>+V55+V88+V108+V123-V7</f>
        <v>0</v>
      </c>
      <c r="W135" s="66"/>
      <c r="X135" s="65">
        <f>+X55+X88+X108+X123-X7</f>
        <v>0</v>
      </c>
      <c r="Y135" s="65">
        <f>+Y55+Y88+Y108+Y123-Y7</f>
        <v>0</v>
      </c>
      <c r="Z135" s="121">
        <f>+Z55+Z88+Z108+Z123-Z7</f>
        <v>0</v>
      </c>
      <c r="AA135" s="65">
        <f>+AA55+AA88+AA108+AA123-AA7</f>
        <v>0</v>
      </c>
      <c r="AB135" s="66"/>
      <c r="AC135" s="65">
        <f>+AC55+AC88+AC108+AC123-AC7</f>
        <v>0</v>
      </c>
      <c r="AD135" s="65">
        <f>+AD55+AD88+AD108+AD123-AD7</f>
        <v>0</v>
      </c>
      <c r="AE135" s="121">
        <f>+AE55+AE88+AE108+AE123-AE7</f>
        <v>0</v>
      </c>
      <c r="AF135" s="65">
        <f>+AF55+AF88+AF108+AF123-AF7</f>
        <v>0</v>
      </c>
      <c r="AG135" s="66"/>
      <c r="AH135" s="65">
        <f>+AH55+AH88+AH108+AH123-AH7</f>
        <v>0</v>
      </c>
      <c r="AI135" s="65">
        <f>+AI55+AI88+AI108+AI123-AI7</f>
        <v>0</v>
      </c>
      <c r="AJ135" s="121">
        <f>+AJ55+AJ88+AJ108+AJ123-AJ7</f>
        <v>0</v>
      </c>
      <c r="AK135" s="65">
        <f>+AK55+AK88+AK108+AK123-AK7</f>
        <v>0</v>
      </c>
      <c r="AL135" s="66"/>
      <c r="AM135" s="65">
        <f>+AM55+AM88+AM108+AM123-AM7</f>
        <v>0</v>
      </c>
      <c r="AN135" s="65">
        <f>+AN55+AN88+AN108+AN123-AN7</f>
        <v>0</v>
      </c>
      <c r="AO135" s="121">
        <f>+AO55+AO88+AO108+AO123-AO7</f>
        <v>0</v>
      </c>
      <c r="AP135" s="65">
        <f>+AP55+AP88+AP108+AP123-AP7</f>
        <v>0</v>
      </c>
      <c r="AQ135" s="66"/>
      <c r="AR135" s="65">
        <f>+AR55+AR88+AR108+AR123-AR7</f>
        <v>0</v>
      </c>
      <c r="AS135" s="65">
        <f>+AS55+AS88+AS108+AS123-AS7</f>
        <v>0</v>
      </c>
      <c r="AT135" s="121">
        <f>+AT55+AT88+AT108+AT123-AT7</f>
        <v>0</v>
      </c>
      <c r="AU135" s="65">
        <f>+AU55+AU88+AU108+AU123-AU7</f>
        <v>0</v>
      </c>
      <c r="AV135" s="66"/>
    </row>
    <row r="136" spans="2:48" s="77" customFormat="1" ht="15.6" customHeight="1" outlineLevel="1" x14ac:dyDescent="0.3">
      <c r="B136" s="64" t="s">
        <v>36</v>
      </c>
      <c r="C136" s="78"/>
      <c r="D136" s="65">
        <f>+D119+D104-D16</f>
        <v>0</v>
      </c>
      <c r="E136" s="65">
        <f>+E119+E104-E16</f>
        <v>0</v>
      </c>
      <c r="F136" s="121">
        <f>+F119+F104-F16</f>
        <v>0</v>
      </c>
      <c r="G136" s="65">
        <f>+G119+G104-G16</f>
        <v>0</v>
      </c>
      <c r="H136" s="66"/>
      <c r="I136" s="65">
        <f>+I119+I104-I16</f>
        <v>0</v>
      </c>
      <c r="J136" s="65">
        <f>+J119+J104-J16</f>
        <v>0</v>
      </c>
      <c r="K136" s="121">
        <f>+K119+K104-K16</f>
        <v>0</v>
      </c>
      <c r="L136" s="65">
        <f>+L119+L104-L16</f>
        <v>0</v>
      </c>
      <c r="M136" s="66"/>
      <c r="N136" s="65">
        <f>+N119+N104-N16</f>
        <v>0</v>
      </c>
      <c r="O136" s="65">
        <f>+O119+O104-O16</f>
        <v>0</v>
      </c>
      <c r="P136" s="121">
        <f>+P119+P104-P16</f>
        <v>0</v>
      </c>
      <c r="Q136" s="65">
        <f>+Q119+Q104-Q16</f>
        <v>0</v>
      </c>
      <c r="R136" s="66"/>
      <c r="S136" s="65">
        <f>+S119+S104-S16</f>
        <v>0</v>
      </c>
      <c r="T136" s="65">
        <f>+T119+T104-T16</f>
        <v>0</v>
      </c>
      <c r="U136" s="121">
        <f>+U119+U104-U16</f>
        <v>0</v>
      </c>
      <c r="V136" s="65">
        <f>+V119+V104-V16</f>
        <v>0</v>
      </c>
      <c r="W136" s="66"/>
      <c r="X136" s="65">
        <f>+X119+X104-X16</f>
        <v>0</v>
      </c>
      <c r="Y136" s="65">
        <f>+Y119+Y104-Y16</f>
        <v>0</v>
      </c>
      <c r="Z136" s="121">
        <f>+Z119+Z104-Z16</f>
        <v>0</v>
      </c>
      <c r="AA136" s="65">
        <f>+AA119+AA104-AA16</f>
        <v>0</v>
      </c>
      <c r="AB136" s="66"/>
      <c r="AC136" s="65">
        <f>+AC119+AC104-AC16</f>
        <v>0</v>
      </c>
      <c r="AD136" s="65">
        <f>+AD119+AD104-AD16</f>
        <v>0</v>
      </c>
      <c r="AE136" s="121">
        <f>+AE119+AE104-AE16</f>
        <v>0</v>
      </c>
      <c r="AF136" s="65">
        <f>+AF119+AF104-AF16</f>
        <v>0</v>
      </c>
      <c r="AG136" s="66"/>
      <c r="AH136" s="65">
        <f>+AH119+AH104-AH16</f>
        <v>0</v>
      </c>
      <c r="AI136" s="65">
        <f>+AI119+AI104-AI16</f>
        <v>0</v>
      </c>
      <c r="AJ136" s="121">
        <f>+AJ119+AJ104-AJ16</f>
        <v>0</v>
      </c>
      <c r="AK136" s="65">
        <f>+AK119+AK104-AK16</f>
        <v>0</v>
      </c>
      <c r="AL136" s="66"/>
      <c r="AM136" s="65">
        <f>+AM119+AM104-AM16</f>
        <v>0</v>
      </c>
      <c r="AN136" s="65">
        <f>+AN119+AN104-AN16</f>
        <v>0</v>
      </c>
      <c r="AO136" s="121">
        <f>+AO119+AO104-AO16</f>
        <v>0</v>
      </c>
      <c r="AP136" s="65">
        <f>+AP119+AP104-AP16</f>
        <v>0</v>
      </c>
      <c r="AQ136" s="66"/>
      <c r="AR136" s="65">
        <f>+AR119+AR104-AR16</f>
        <v>0</v>
      </c>
      <c r="AS136" s="65">
        <f>+AS119+AS104-AS16</f>
        <v>0</v>
      </c>
      <c r="AT136" s="121">
        <f>+AT119+AT104-AT16</f>
        <v>0</v>
      </c>
      <c r="AU136" s="65">
        <f>+AU119+AU104-AU16</f>
        <v>0</v>
      </c>
      <c r="AV136" s="66"/>
    </row>
    <row r="137" spans="2:48" s="77" customFormat="1" ht="15.6" customHeight="1" outlineLevel="1" x14ac:dyDescent="0.3">
      <c r="B137" s="64" t="s">
        <v>62</v>
      </c>
      <c r="C137" s="78"/>
      <c r="D137" s="65">
        <f>+D71+D105+D120+D131-D17</f>
        <v>0</v>
      </c>
      <c r="E137" s="65">
        <f>+E71+E105+E120+E131-E17</f>
        <v>0</v>
      </c>
      <c r="F137" s="121">
        <f>+F71+F105+F120+F131-F17</f>
        <v>0</v>
      </c>
      <c r="G137" s="65">
        <f>+G71+G105+G120+G131-G17</f>
        <v>9.9999999998544808E-2</v>
      </c>
      <c r="H137" s="66"/>
      <c r="I137" s="65">
        <f>+I71+I105+I120+I131-I17</f>
        <v>0</v>
      </c>
      <c r="J137" s="65">
        <f>+J71+J105+J120+J131-J17</f>
        <v>6.8212102632969618E-13</v>
      </c>
      <c r="K137" s="121">
        <f>+K71+K105+K120+K131-K17</f>
        <v>0</v>
      </c>
      <c r="L137" s="65">
        <f>+L71+L105+L120+L131-L17</f>
        <v>-2.0999999999996817</v>
      </c>
      <c r="M137" s="66"/>
      <c r="N137" s="65">
        <f>+N71+N105+N120+N131-N17</f>
        <v>0</v>
      </c>
      <c r="O137" s="65">
        <f>+O71+O105+O120+O131-O17</f>
        <v>0</v>
      </c>
      <c r="P137" s="121">
        <f>+P71+P105+P120+P131-P17</f>
        <v>0</v>
      </c>
      <c r="Q137" s="65">
        <f>+Q71+Q105+Q120+Q131-Q17</f>
        <v>0</v>
      </c>
      <c r="R137" s="66"/>
      <c r="S137" s="65">
        <f>+S71+S105+S120+S131-S17</f>
        <v>0</v>
      </c>
      <c r="T137" s="65">
        <f>+T71+T105+T120+T131-T17</f>
        <v>0</v>
      </c>
      <c r="U137" s="121">
        <f>+U71+U105+U120+U131-U17</f>
        <v>0</v>
      </c>
      <c r="V137" s="65">
        <f>+V71+V105+V120+V131-V17</f>
        <v>0</v>
      </c>
      <c r="W137" s="66"/>
      <c r="X137" s="65">
        <f>+X71+X105+X120+X131-X17</f>
        <v>2.5011104298755527E-12</v>
      </c>
      <c r="Y137" s="65">
        <f>+Y71+Y105+Y120+Y131-Y17</f>
        <v>0</v>
      </c>
      <c r="Z137" s="121">
        <f>+Z71+Z105+Z120+Z131-Z17</f>
        <v>0</v>
      </c>
      <c r="AA137" s="65">
        <f>+AA71+AA105+AA120+AA131-AA17</f>
        <v>0</v>
      </c>
      <c r="AB137" s="66"/>
      <c r="AC137" s="65">
        <f>+AC71+AC105+AC120+AC131-AC17</f>
        <v>1.8189894035458565E-12</v>
      </c>
      <c r="AD137" s="65">
        <f>+AD71+AD105+AD120+AD131-AD17</f>
        <v>0</v>
      </c>
      <c r="AE137" s="121">
        <f>+AE71+AE105+AE120+AE131-AE17</f>
        <v>-2.0463630789890885E-12</v>
      </c>
      <c r="AF137" s="65">
        <f>+AF71+AF105+AF120+AF131-AF17</f>
        <v>2.2737367544323206E-12</v>
      </c>
      <c r="AG137" s="66"/>
      <c r="AH137" s="65">
        <f>+AH71+AH105+AH120+AH131-AH17</f>
        <v>2.0463630789890885E-12</v>
      </c>
      <c r="AI137" s="65">
        <f>+AI71+AI105+AI120+AI131-AI17</f>
        <v>0</v>
      </c>
      <c r="AJ137" s="121">
        <f>+AJ71+AJ105+AJ120+AJ131-AJ17</f>
        <v>0</v>
      </c>
      <c r="AK137" s="65">
        <f>+AK71+AK105+AK120+AK131-AK17</f>
        <v>0</v>
      </c>
      <c r="AL137" s="66"/>
      <c r="AM137" s="65">
        <f>+AM71+AM105+AM120+AM131-AM17</f>
        <v>0</v>
      </c>
      <c r="AN137" s="65">
        <f>+AN71+AN105+AN120+AN131-AN17</f>
        <v>0</v>
      </c>
      <c r="AO137" s="121">
        <f>+AO71+AO105+AO120+AO131-AO17</f>
        <v>0</v>
      </c>
      <c r="AP137" s="65">
        <f>+AP71+AP105+AP120+AP131-AP17</f>
        <v>0</v>
      </c>
      <c r="AQ137" s="66"/>
      <c r="AR137" s="65">
        <f>+AR71+AR105+AR120+AR131-AR17</f>
        <v>0</v>
      </c>
      <c r="AS137" s="65">
        <f>+AS71+AS105+AS120+AS131-AS17</f>
        <v>0</v>
      </c>
      <c r="AT137" s="121">
        <f>+AT71+AT105+AT120+AT131-AT17</f>
        <v>0</v>
      </c>
      <c r="AU137" s="65">
        <f>+AU71+AU105+AU120+AU131-AU17</f>
        <v>0</v>
      </c>
      <c r="AV137" s="66"/>
    </row>
    <row r="138" spans="2:48" ht="15" customHeight="1" x14ac:dyDescent="0.45">
      <c r="B138" s="433" t="s">
        <v>9</v>
      </c>
      <c r="C138" s="434"/>
      <c r="D138" s="14" t="s">
        <v>19</v>
      </c>
      <c r="E138" s="14" t="s">
        <v>81</v>
      </c>
      <c r="F138" s="14" t="s">
        <v>85</v>
      </c>
      <c r="G138" s="14" t="s">
        <v>95</v>
      </c>
      <c r="H138" s="40" t="s">
        <v>96</v>
      </c>
      <c r="I138" s="14" t="s">
        <v>97</v>
      </c>
      <c r="J138" s="14" t="s">
        <v>98</v>
      </c>
      <c r="K138" s="14" t="s">
        <v>99</v>
      </c>
      <c r="L138" s="14" t="s">
        <v>142</v>
      </c>
      <c r="M138" s="40" t="s">
        <v>143</v>
      </c>
      <c r="N138" s="14" t="s">
        <v>149</v>
      </c>
      <c r="O138" s="14" t="s">
        <v>157</v>
      </c>
      <c r="P138" s="14" t="s">
        <v>159</v>
      </c>
      <c r="Q138" s="14" t="s">
        <v>172</v>
      </c>
      <c r="R138" s="40" t="s">
        <v>173</v>
      </c>
      <c r="S138" s="14" t="s">
        <v>188</v>
      </c>
      <c r="T138" s="14" t="s">
        <v>189</v>
      </c>
      <c r="U138" s="14" t="s">
        <v>204</v>
      </c>
      <c r="V138" s="12" t="s">
        <v>25</v>
      </c>
      <c r="W138" s="42" t="s">
        <v>26</v>
      </c>
      <c r="X138" s="12" t="s">
        <v>27</v>
      </c>
      <c r="Y138" s="12" t="s">
        <v>28</v>
      </c>
      <c r="Z138" s="12" t="s">
        <v>29</v>
      </c>
      <c r="AA138" s="12" t="s">
        <v>30</v>
      </c>
      <c r="AB138" s="42" t="s">
        <v>31</v>
      </c>
      <c r="AC138" s="12" t="s">
        <v>90</v>
      </c>
      <c r="AD138" s="12" t="s">
        <v>91</v>
      </c>
      <c r="AE138" s="12" t="s">
        <v>92</v>
      </c>
      <c r="AF138" s="12" t="s">
        <v>93</v>
      </c>
      <c r="AG138" s="42" t="s">
        <v>94</v>
      </c>
      <c r="AH138" s="12" t="s">
        <v>109</v>
      </c>
      <c r="AI138" s="12" t="s">
        <v>110</v>
      </c>
      <c r="AJ138" s="12" t="s">
        <v>111</v>
      </c>
      <c r="AK138" s="12" t="s">
        <v>112</v>
      </c>
      <c r="AL138" s="42" t="s">
        <v>113</v>
      </c>
      <c r="AM138" s="12" t="s">
        <v>164</v>
      </c>
      <c r="AN138" s="12" t="s">
        <v>165</v>
      </c>
      <c r="AO138" s="12" t="s">
        <v>166</v>
      </c>
      <c r="AP138" s="12" t="s">
        <v>167</v>
      </c>
      <c r="AQ138" s="42" t="s">
        <v>168</v>
      </c>
      <c r="AR138" s="12" t="s">
        <v>195</v>
      </c>
      <c r="AS138" s="12" t="s">
        <v>196</v>
      </c>
      <c r="AT138" s="12" t="s">
        <v>197</v>
      </c>
      <c r="AU138" s="12" t="s">
        <v>198</v>
      </c>
      <c r="AV138" s="42" t="s">
        <v>199</v>
      </c>
    </row>
    <row r="139" spans="2:48" s="23" customFormat="1" outlineLevel="1" x14ac:dyDescent="0.3">
      <c r="B139" s="200" t="s">
        <v>169</v>
      </c>
      <c r="C139" s="201"/>
      <c r="D139" s="27"/>
      <c r="E139" s="27"/>
      <c r="F139" s="27"/>
      <c r="G139" s="27"/>
      <c r="H139" s="29"/>
      <c r="I139" s="27"/>
      <c r="J139" s="27"/>
      <c r="K139" s="27"/>
      <c r="L139" s="113"/>
      <c r="M139" s="137"/>
      <c r="N139" s="113"/>
      <c r="O139" s="113"/>
      <c r="P139" s="113"/>
      <c r="Q139" s="113"/>
      <c r="R139" s="29"/>
      <c r="S139" s="113"/>
      <c r="T139" s="113"/>
      <c r="U139" s="113"/>
      <c r="V139" s="113"/>
      <c r="W139" s="137"/>
      <c r="X139" s="113"/>
      <c r="Y139" s="113"/>
      <c r="Z139" s="113"/>
      <c r="AA139" s="113"/>
      <c r="AB139" s="137">
        <f>(AB91+AB58)/(W83+W74+W50+W41)</f>
        <v>6.9998872350022556E-2</v>
      </c>
      <c r="AC139" s="113"/>
      <c r="AD139" s="113"/>
      <c r="AE139" s="113"/>
      <c r="AF139" s="113"/>
      <c r="AG139" s="137">
        <f>(AG91+AG58)/(AB83+AB74+AB50+AB41)</f>
        <v>7.0003952048478466E-2</v>
      </c>
      <c r="AH139" s="113"/>
      <c r="AI139" s="113"/>
      <c r="AJ139" s="113"/>
      <c r="AK139" s="113"/>
      <c r="AL139" s="406">
        <f>(AL91+AL58)/(AG83+AG74+AG50+AG41)</f>
        <v>7.0003939722249581E-2</v>
      </c>
      <c r="AM139" s="113"/>
      <c r="AN139" s="113"/>
      <c r="AO139" s="113"/>
      <c r="AP139" s="113"/>
      <c r="AQ139" s="137">
        <f>(AQ91+AQ58)/(AL83+AL74+AL50+AL41)</f>
        <v>2.9271660338280981E-2</v>
      </c>
      <c r="AR139" s="113"/>
      <c r="AS139" s="113"/>
      <c r="AT139" s="113"/>
      <c r="AU139" s="113"/>
      <c r="AV139" s="137">
        <f>(AV91+AV58)/(AQ83+AQ74+AQ50+AQ41)</f>
        <v>2.8439197799986587E-2</v>
      </c>
    </row>
    <row r="140" spans="2:48" s="23" customFormat="1" outlineLevel="1" x14ac:dyDescent="0.3">
      <c r="B140" s="435" t="s">
        <v>17</v>
      </c>
      <c r="C140" s="436"/>
      <c r="D140" s="30"/>
      <c r="E140" s="30"/>
      <c r="F140" s="30"/>
      <c r="G140" s="30"/>
      <c r="H140" s="137"/>
      <c r="I140" s="30">
        <f t="shared" ref="I140:AV140" si="451">I8/D8-1</f>
        <v>7.0016735266180907E-2</v>
      </c>
      <c r="J140" s="30">
        <f t="shared" si="451"/>
        <v>-4.9192026514851106E-2</v>
      </c>
      <c r="K140" s="30">
        <f t="shared" si="451"/>
        <v>-0.38119595485856661</v>
      </c>
      <c r="L140" s="113">
        <f t="shared" si="451"/>
        <v>-8.061360604713208E-2</v>
      </c>
      <c r="M140" s="128">
        <f t="shared" si="451"/>
        <v>-0.11281621813298315</v>
      </c>
      <c r="N140" s="30">
        <f t="shared" si="451"/>
        <v>-4.8991841738174613E-2</v>
      </c>
      <c r="O140" s="30">
        <f t="shared" si="451"/>
        <v>0.11213036009139876</v>
      </c>
      <c r="P140" s="30">
        <f t="shared" si="451"/>
        <v>0.77553823926482068</v>
      </c>
      <c r="Q140" s="30">
        <f t="shared" si="451"/>
        <v>0.31332720736405983</v>
      </c>
      <c r="R140" s="128">
        <f t="shared" si="451"/>
        <v>0.23567480227910509</v>
      </c>
      <c r="S140" s="30">
        <f t="shared" si="451"/>
        <v>0.19275787477405393</v>
      </c>
      <c r="T140" s="30">
        <f t="shared" si="451"/>
        <v>0.14511097780443905</v>
      </c>
      <c r="U140" s="30">
        <f t="shared" si="451"/>
        <v>8.7187354098579473E-2</v>
      </c>
      <c r="V140" s="30">
        <f t="shared" si="451"/>
        <v>1.7311112342031532E-2</v>
      </c>
      <c r="W140" s="28">
        <f t="shared" si="451"/>
        <v>0.10540829986018285</v>
      </c>
      <c r="X140" s="30">
        <f t="shared" si="451"/>
        <v>8.7733273584252425E-2</v>
      </c>
      <c r="Y140" s="30">
        <f t="shared" si="451"/>
        <v>0.11020706164959115</v>
      </c>
      <c r="Z140" s="30">
        <f t="shared" si="451"/>
        <v>0.1391710588339683</v>
      </c>
      <c r="AA140" s="30">
        <f t="shared" si="451"/>
        <v>0.1451416128779397</v>
      </c>
      <c r="AB140" s="137">
        <f t="shared" si="451"/>
        <v>0.12093631094758672</v>
      </c>
      <c r="AC140" s="30">
        <f t="shared" si="451"/>
        <v>0.13399773980935192</v>
      </c>
      <c r="AD140" s="30">
        <f t="shared" si="451"/>
        <v>0.10767878930401986</v>
      </c>
      <c r="AE140" s="30">
        <f t="shared" si="451"/>
        <v>0.10856882494447739</v>
      </c>
      <c r="AF140" s="30">
        <f t="shared" si="451"/>
        <v>0.11144600775660596</v>
      </c>
      <c r="AG140" s="137">
        <f t="shared" si="451"/>
        <v>0.11530147476764463</v>
      </c>
      <c r="AH140" s="30">
        <f t="shared" si="451"/>
        <v>0.12587173137117658</v>
      </c>
      <c r="AI140" s="30">
        <f t="shared" si="451"/>
        <v>0.1251595736673663</v>
      </c>
      <c r="AJ140" s="30">
        <f t="shared" si="451"/>
        <v>0.1258243860052799</v>
      </c>
      <c r="AK140" s="30">
        <f t="shared" si="451"/>
        <v>0.12769538781840528</v>
      </c>
      <c r="AL140" s="406">
        <f t="shared" si="451"/>
        <v>0.12617207818298004</v>
      </c>
      <c r="AM140" s="30">
        <f t="shared" si="451"/>
        <v>9.9687680072744644E-2</v>
      </c>
      <c r="AN140" s="30">
        <f t="shared" si="451"/>
        <v>9.4265108142658427E-2</v>
      </c>
      <c r="AO140" s="30">
        <f t="shared" si="451"/>
        <v>9.0376259187003205E-2</v>
      </c>
      <c r="AP140" s="30">
        <f t="shared" si="451"/>
        <v>8.7199537927540094E-2</v>
      </c>
      <c r="AQ140" s="28">
        <f t="shared" si="451"/>
        <v>9.2750899309434143E-2</v>
      </c>
      <c r="AR140" s="30">
        <f t="shared" si="451"/>
        <v>6.5004759875038731E-2</v>
      </c>
      <c r="AS140" s="30">
        <f t="shared" si="451"/>
        <v>6.4247339120236502E-2</v>
      </c>
      <c r="AT140" s="30">
        <f t="shared" si="451"/>
        <v>6.402711186286747E-2</v>
      </c>
      <c r="AU140" s="30">
        <f t="shared" si="451"/>
        <v>6.431353530912709E-2</v>
      </c>
      <c r="AV140" s="28">
        <f t="shared" si="451"/>
        <v>6.4396778550259715E-2</v>
      </c>
    </row>
    <row r="141" spans="2:48" s="23" customFormat="1" outlineLevel="1" x14ac:dyDescent="0.3">
      <c r="B141" s="435" t="s">
        <v>4</v>
      </c>
      <c r="C141" s="436"/>
      <c r="D141" s="27">
        <f t="shared" ref="D141:AV141" si="452">D17/D8</f>
        <v>0.15313522396610738</v>
      </c>
      <c r="E141" s="27">
        <f t="shared" si="452"/>
        <v>0.13601547756862614</v>
      </c>
      <c r="F141" s="27">
        <f t="shared" si="452"/>
        <v>0.16434119888612064</v>
      </c>
      <c r="G141" s="27">
        <f t="shared" si="452"/>
        <v>0.16054542759745088</v>
      </c>
      <c r="H141" s="29">
        <f t="shared" si="452"/>
        <v>0.15383309567461143</v>
      </c>
      <c r="I141" s="27">
        <f t="shared" si="452"/>
        <v>0.1718730185568752</v>
      </c>
      <c r="J141" s="27">
        <f t="shared" si="452"/>
        <v>8.1291592307820446E-2</v>
      </c>
      <c r="K141" s="27">
        <f t="shared" si="452"/>
        <v>-0.16671798394164022</v>
      </c>
      <c r="L141" s="113">
        <f t="shared" si="452"/>
        <v>9.0003385404072211E-2</v>
      </c>
      <c r="M141" s="137">
        <f t="shared" si="452"/>
        <v>6.6400204098988183E-2</v>
      </c>
      <c r="N141" s="27">
        <f t="shared" si="452"/>
        <v>0.13534536403235845</v>
      </c>
      <c r="O141" s="27">
        <f t="shared" si="452"/>
        <v>0.14811037792441512</v>
      </c>
      <c r="P141" s="27">
        <f t="shared" si="452"/>
        <v>0.19858600680317468</v>
      </c>
      <c r="Q141" s="27">
        <f t="shared" si="452"/>
        <v>0.18193869910515911</v>
      </c>
      <c r="R141" s="137">
        <f t="shared" si="452"/>
        <v>0.16764966999993108</v>
      </c>
      <c r="S141" s="27">
        <f t="shared" si="452"/>
        <v>0.14630328927755143</v>
      </c>
      <c r="T141" s="27">
        <f t="shared" si="452"/>
        <v>0.12427314159987431</v>
      </c>
      <c r="U141" s="27">
        <f t="shared" si="452"/>
        <v>0.15895510484533926</v>
      </c>
      <c r="V141" s="27">
        <f t="shared" si="452"/>
        <v>0.13355692927238058</v>
      </c>
      <c r="W141" s="137">
        <f t="shared" si="452"/>
        <v>0.14098828754353226</v>
      </c>
      <c r="X141" s="27">
        <f t="shared" si="452"/>
        <v>0.13421976654432721</v>
      </c>
      <c r="Y141" s="27">
        <f t="shared" si="452"/>
        <v>0.13263056873793616</v>
      </c>
      <c r="Z141" s="27">
        <f t="shared" si="452"/>
        <v>0.15508612647680486</v>
      </c>
      <c r="AA141" s="27">
        <f t="shared" si="452"/>
        <v>0.16344727001276896</v>
      </c>
      <c r="AB141" s="137">
        <f t="shared" si="452"/>
        <v>0.14692906583549697</v>
      </c>
      <c r="AC141" s="27">
        <f t="shared" si="452"/>
        <v>0.1631737297957439</v>
      </c>
      <c r="AD141" s="27">
        <f t="shared" si="452"/>
        <v>0.14354152503895293</v>
      </c>
      <c r="AE141" s="27">
        <f t="shared" si="452"/>
        <v>0.16167065979373002</v>
      </c>
      <c r="AF141" s="27">
        <f t="shared" si="452"/>
        <v>0.15556544984783505</v>
      </c>
      <c r="AG141" s="137">
        <f t="shared" si="452"/>
        <v>0.15620000682535584</v>
      </c>
      <c r="AH141" s="27">
        <f t="shared" si="452"/>
        <v>0.17224301632180186</v>
      </c>
      <c r="AI141" s="27">
        <f t="shared" si="452"/>
        <v>0.15335330208758777</v>
      </c>
      <c r="AJ141" s="27">
        <f t="shared" si="452"/>
        <v>0.17743840283587245</v>
      </c>
      <c r="AK141" s="27">
        <f t="shared" si="452"/>
        <v>0.16553915592101007</v>
      </c>
      <c r="AL141" s="29">
        <f t="shared" si="452"/>
        <v>0.16739829836804901</v>
      </c>
      <c r="AM141" s="27">
        <f t="shared" si="452"/>
        <v>0.1751662413004684</v>
      </c>
      <c r="AN141" s="27">
        <f t="shared" si="452"/>
        <v>0.15619194150983232</v>
      </c>
      <c r="AO141" s="27">
        <f t="shared" si="452"/>
        <v>0.17887095246670712</v>
      </c>
      <c r="AP141" s="27">
        <f t="shared" si="452"/>
        <v>0.16664402412545049</v>
      </c>
      <c r="AQ141" s="29">
        <f t="shared" si="452"/>
        <v>0.1694447917919065</v>
      </c>
      <c r="AR141" s="27">
        <f t="shared" si="452"/>
        <v>0.17485125506243948</v>
      </c>
      <c r="AS141" s="27">
        <f t="shared" si="452"/>
        <v>0.15593663450726944</v>
      </c>
      <c r="AT141" s="27">
        <f t="shared" si="452"/>
        <v>0.17849747274829253</v>
      </c>
      <c r="AU141" s="27">
        <f t="shared" si="452"/>
        <v>0.16642939206830532</v>
      </c>
      <c r="AV141" s="29">
        <f t="shared" si="452"/>
        <v>0.16915554207758479</v>
      </c>
    </row>
    <row r="142" spans="2:48" s="23" customFormat="1" outlineLevel="1" x14ac:dyDescent="0.3">
      <c r="B142" s="435" t="s">
        <v>77</v>
      </c>
      <c r="C142" s="436"/>
      <c r="D142" s="27">
        <f t="shared" ref="D142:AV142" si="453">+D19/D8</f>
        <v>0.17394123056975294</v>
      </c>
      <c r="E142" s="27">
        <f t="shared" si="453"/>
        <v>0.15843892227913536</v>
      </c>
      <c r="F142" s="27">
        <f t="shared" si="453"/>
        <v>0.18270555474131628</v>
      </c>
      <c r="G142" s="27">
        <f t="shared" si="453"/>
        <v>0.17201719282644154</v>
      </c>
      <c r="H142" s="29">
        <f t="shared" si="453"/>
        <v>0.17201964645435841</v>
      </c>
      <c r="I142" s="27">
        <f t="shared" si="453"/>
        <v>0.1819616463062376</v>
      </c>
      <c r="J142" s="27">
        <f t="shared" si="453"/>
        <v>9.2432910252347358E-2</v>
      </c>
      <c r="K142" s="27">
        <f t="shared" si="453"/>
        <v>-0.12558205632268285</v>
      </c>
      <c r="L142" s="113">
        <f t="shared" si="453"/>
        <v>0.13183730715287523</v>
      </c>
      <c r="M142" s="137">
        <f t="shared" si="453"/>
        <v>9.0704141508631861E-2</v>
      </c>
      <c r="N142" s="27">
        <f t="shared" si="453"/>
        <v>0.15533232583637069</v>
      </c>
      <c r="O142" s="27">
        <f t="shared" si="453"/>
        <v>0.1613377324535093</v>
      </c>
      <c r="P142" s="27">
        <f t="shared" si="453"/>
        <v>0.20548255852731262</v>
      </c>
      <c r="Q142" s="27">
        <f t="shared" si="453"/>
        <v>0.19607939411049871</v>
      </c>
      <c r="R142" s="137">
        <f t="shared" si="453"/>
        <v>0.18106990220435909</v>
      </c>
      <c r="S142" s="27">
        <f t="shared" si="453"/>
        <v>0.15067574282023255</v>
      </c>
      <c r="T142" s="27">
        <f t="shared" si="453"/>
        <v>0.13049400178113052</v>
      </c>
      <c r="U142" s="27">
        <f t="shared" si="453"/>
        <v>0.16846419062342788</v>
      </c>
      <c r="V142" s="421">
        <f t="shared" si="453"/>
        <v>0.1473122062267615</v>
      </c>
      <c r="W142" s="137">
        <f t="shared" si="453"/>
        <v>0.14952400739153818</v>
      </c>
      <c r="X142" s="27">
        <f t="shared" si="453"/>
        <v>0.14723838736391073</v>
      </c>
      <c r="Y142" s="27">
        <f t="shared" si="453"/>
        <v>0.14018032305813871</v>
      </c>
      <c r="Z142" s="27">
        <f t="shared" si="453"/>
        <v>0.1619794409826385</v>
      </c>
      <c r="AA142" s="27">
        <f t="shared" si="453"/>
        <v>0.17019076851066367</v>
      </c>
      <c r="AB142" s="137">
        <f t="shared" si="453"/>
        <v>0.15542699664981294</v>
      </c>
      <c r="AC142" s="27">
        <f t="shared" si="453"/>
        <v>0.16961880384740316</v>
      </c>
      <c r="AD142" s="27">
        <f t="shared" si="453"/>
        <v>0.15035735864803218</v>
      </c>
      <c r="AE142" s="27">
        <f t="shared" si="453"/>
        <v>0.16788887047287201</v>
      </c>
      <c r="AF142" s="27">
        <f t="shared" si="453"/>
        <v>0.16163276976336211</v>
      </c>
      <c r="AG142" s="137">
        <f t="shared" si="453"/>
        <v>0.16257440889376892</v>
      </c>
      <c r="AH142" s="27">
        <f t="shared" si="453"/>
        <v>0.17796753526305809</v>
      </c>
      <c r="AI142" s="27">
        <f t="shared" si="453"/>
        <v>0.15941096161303944</v>
      </c>
      <c r="AJ142" s="27">
        <f t="shared" si="453"/>
        <v>0.18296165384769841</v>
      </c>
      <c r="AK142" s="27">
        <f t="shared" si="453"/>
        <v>0.17091943855856229</v>
      </c>
      <c r="AL142" s="406">
        <f t="shared" si="453"/>
        <v>0.17305853643637142</v>
      </c>
      <c r="AM142" s="27">
        <f t="shared" si="453"/>
        <v>0.18037182743641345</v>
      </c>
      <c r="AN142" s="27">
        <f t="shared" si="453"/>
        <v>0.16172776594613694</v>
      </c>
      <c r="AO142" s="27">
        <f t="shared" si="453"/>
        <v>0.18393640667601296</v>
      </c>
      <c r="AP142" s="27">
        <f t="shared" si="453"/>
        <v>0.17159277773493811</v>
      </c>
      <c r="AQ142" s="29">
        <f t="shared" si="453"/>
        <v>0.1746245981612258</v>
      </c>
      <c r="AR142" s="27">
        <f t="shared" si="453"/>
        <v>0.17973910752288841</v>
      </c>
      <c r="AS142" s="27">
        <f t="shared" si="453"/>
        <v>0.16113826784269394</v>
      </c>
      <c r="AT142" s="27">
        <f t="shared" si="453"/>
        <v>0.18325811667628172</v>
      </c>
      <c r="AU142" s="27">
        <f t="shared" si="453"/>
        <v>0.17107910612841101</v>
      </c>
      <c r="AV142" s="29">
        <f t="shared" si="453"/>
        <v>0.17402196639763429</v>
      </c>
    </row>
    <row r="143" spans="2:48" s="23" customFormat="1" outlineLevel="1" x14ac:dyDescent="0.3">
      <c r="B143" s="435" t="s">
        <v>2</v>
      </c>
      <c r="C143" s="436"/>
      <c r="D143" s="27">
        <f t="shared" ref="D143:K143" si="454">D24/D23</f>
        <v>0.2124287933713101</v>
      </c>
      <c r="E143" s="27">
        <f t="shared" si="454"/>
        <v>0.1965853658536586</v>
      </c>
      <c r="F143" s="27">
        <f t="shared" si="454"/>
        <v>0.18110799689903978</v>
      </c>
      <c r="G143" s="118">
        <f t="shared" si="454"/>
        <v>0.20083682008368189</v>
      </c>
      <c r="H143" s="137">
        <f t="shared" si="454"/>
        <v>0.19515471765706843</v>
      </c>
      <c r="I143" s="118">
        <f t="shared" si="454"/>
        <v>0.22600104913446431</v>
      </c>
      <c r="J143" s="118">
        <f t="shared" si="454"/>
        <v>0.16760635571501836</v>
      </c>
      <c r="K143" s="118">
        <f t="shared" si="454"/>
        <v>0.16490147783251249</v>
      </c>
      <c r="L143" s="118">
        <v>0.25</v>
      </c>
      <c r="M143" s="137">
        <f t="shared" ref="M143:U143" si="455">M24/M23</f>
        <v>0.20585709378220463</v>
      </c>
      <c r="N143" s="118">
        <f t="shared" si="455"/>
        <v>0.23023629840405785</v>
      </c>
      <c r="O143" s="118">
        <f t="shared" si="455"/>
        <v>0.25901786717608721</v>
      </c>
      <c r="P143" s="118">
        <f t="shared" si="455"/>
        <v>0.18217246510309659</v>
      </c>
      <c r="Q143" s="118">
        <f t="shared" si="455"/>
        <v>0.21489588894821143</v>
      </c>
      <c r="R143" s="137">
        <f t="shared" si="455"/>
        <v>0.21591906068581893</v>
      </c>
      <c r="S143" s="118">
        <f t="shared" si="455"/>
        <v>0.23183358433734938</v>
      </c>
      <c r="T143" s="118">
        <f t="shared" si="455"/>
        <v>0.22954000684853323</v>
      </c>
      <c r="U143" s="118">
        <f t="shared" si="455"/>
        <v>0.23360174467371256</v>
      </c>
      <c r="V143" s="35">
        <v>0.24</v>
      </c>
      <c r="W143" s="137">
        <f>W24/W23</f>
        <v>0.23384710457777375</v>
      </c>
      <c r="X143" s="35">
        <v>0.245</v>
      </c>
      <c r="Y143" s="35">
        <v>0.245</v>
      </c>
      <c r="Z143" s="35">
        <v>0.245</v>
      </c>
      <c r="AA143" s="35">
        <v>0.245</v>
      </c>
      <c r="AB143" s="137">
        <f>AB24/AB23</f>
        <v>0.24499999999999983</v>
      </c>
      <c r="AC143" s="34">
        <f>AVERAGE(X143,Y143,Z143,AA143)</f>
        <v>0.245</v>
      </c>
      <c r="AD143" s="34">
        <f>AVERAGE(Y143,Z143,AA143,AC143)</f>
        <v>0.245</v>
      </c>
      <c r="AE143" s="34">
        <f>AVERAGE(Z143,AA143,AC143,AD143)</f>
        <v>0.245</v>
      </c>
      <c r="AF143" s="34">
        <f>AVERAGE(AA143,AC143,AD143,AE143)</f>
        <v>0.245</v>
      </c>
      <c r="AG143" s="29">
        <f>AG24/AG23</f>
        <v>0.24500000000000013</v>
      </c>
      <c r="AH143" s="34">
        <f>AVERAGE(AC143,AD143,AE143,AF143)</f>
        <v>0.245</v>
      </c>
      <c r="AI143" s="34">
        <f>AVERAGE(AD143,AE143,AF143,AH143)</f>
        <v>0.245</v>
      </c>
      <c r="AJ143" s="34">
        <f>AVERAGE(AE143,AF143,AH143,AI143)</f>
        <v>0.245</v>
      </c>
      <c r="AK143" s="34">
        <f>AVERAGE(AF143,AH143,AI143,AJ143)</f>
        <v>0.245</v>
      </c>
      <c r="AL143" s="29">
        <f>AL24/AL23</f>
        <v>0.24499999999999991</v>
      </c>
      <c r="AM143" s="34">
        <f>AVERAGE(AH143,AI143,AJ143,AK143)</f>
        <v>0.245</v>
      </c>
      <c r="AN143" s="34">
        <f>AVERAGE(AI143,AJ143,AK143,AM143)</f>
        <v>0.245</v>
      </c>
      <c r="AO143" s="34">
        <f>AVERAGE(AJ143,AK143,AM143,AN143)</f>
        <v>0.245</v>
      </c>
      <c r="AP143" s="34">
        <f>AVERAGE(AK143,AM143,AN143,AO143)</f>
        <v>0.245</v>
      </c>
      <c r="AQ143" s="29">
        <f>AQ24/AQ23</f>
        <v>0.24500000000000041</v>
      </c>
      <c r="AR143" s="34">
        <f>AVERAGE(AM143,AN143,AO143,AP143)</f>
        <v>0.245</v>
      </c>
      <c r="AS143" s="34">
        <f>AVERAGE(AN143,AO143,AP143,AR143)</f>
        <v>0.245</v>
      </c>
      <c r="AT143" s="34">
        <f>AVERAGE(AO143,AP143,AR143,AS143)</f>
        <v>0.245</v>
      </c>
      <c r="AU143" s="34">
        <f>AVERAGE(AP143,AR143,AS143,AT143)</f>
        <v>0.245</v>
      </c>
      <c r="AV143" s="29">
        <f>AV24/AV23</f>
        <v>0.24499999999999961</v>
      </c>
    </row>
    <row r="144" spans="2:48" s="23" customFormat="1" outlineLevel="1" x14ac:dyDescent="0.3">
      <c r="B144" s="435" t="s">
        <v>78</v>
      </c>
      <c r="C144" s="436"/>
      <c r="D144" s="27"/>
      <c r="E144" s="27">
        <f>+E21/(('BS (Bull-Case)'!E6+'BS (Bull-Case)'!E7+'BS (Bull-Case)'!E12)+('BS (Bull-Case)'!D6+'BS (Bull-Case)'!D7+'BS (Bull-Case)'!D12)/2)</f>
        <v>3.0327214684756584E-3</v>
      </c>
      <c r="F144" s="27">
        <f>+F21/(('BS (Bull-Case)'!F6+'BS (Bull-Case)'!F7+'BS (Bull-Case)'!F12)+('BS (Bull-Case)'!E6+'BS (Bull-Case)'!E7+'BS (Bull-Case)'!E12)/2)</f>
        <v>6.4321029136466161E-3</v>
      </c>
      <c r="G144" s="27">
        <f>+G21/(('BS (Bull-Case)'!G6+'BS (Bull-Case)'!G7+'BS (Bull-Case)'!G12)+('BS (Bull-Case)'!F6+'BS (Bull-Case)'!F7+'BS (Bull-Case)'!F12)/2)</f>
        <v>2.9603261807251862E-3</v>
      </c>
      <c r="H144" s="29"/>
      <c r="I144" s="27">
        <f>+I21/(('BS (Bull-Case)'!I6+'BS (Bull-Case)'!I7+'BS (Bull-Case)'!I12)+('BS (Bull-Case)'!G6+'BS (Bull-Case)'!G7+'BS (Bull-Case)'!G12)/2)</f>
        <v>3.3143988743550958E-3</v>
      </c>
      <c r="J144" s="27">
        <f>+J21/(('BS (Bull-Case)'!J6+'BS (Bull-Case)'!J7+'BS (Bull-Case)'!J12)+('BS (Bull-Case)'!I6+'BS (Bull-Case)'!I7+'BS (Bull-Case)'!I12)/2)</f>
        <v>4.4659305324505627E-4</v>
      </c>
      <c r="K144" s="27">
        <f>+K21/(('BS (Bull-Case)'!K6+'BS (Bull-Case)'!K7+'BS (Bull-Case)'!K12)+('BS (Bull-Case)'!J6+'BS (Bull-Case)'!J7+'BS (Bull-Case)'!J12)/2)</f>
        <v>2.1779393606804753E-3</v>
      </c>
      <c r="L144" s="27">
        <f>+L21/(('BS (Bull-Case)'!L6+'BS (Bull-Case)'!L7+'BS (Bull-Case)'!L12)+('BS (Bull-Case)'!K6+'BS (Bull-Case)'!K7+'BS (Bull-Case)'!K12)/2)</f>
        <v>1.2911830642186198E-3</v>
      </c>
      <c r="M144" s="29"/>
      <c r="N144" s="27">
        <f>+N21/(('BS (Bull-Case)'!N6+'BS (Bull-Case)'!N7+'BS (Bull-Case)'!N12)+('BS (Bull-Case)'!L6+'BS (Bull-Case)'!L7+'BS (Bull-Case)'!L12)/2)</f>
        <v>1.9686289451959073E-3</v>
      </c>
      <c r="O144" s="27">
        <f>+O21/(('BS (Bull-Case)'!O6+'BS (Bull-Case)'!O7+'BS (Bull-Case)'!O12)+('BS (Bull-Case)'!N6+'BS (Bull-Case)'!N7+'BS (Bull-Case)'!N12)/2)</f>
        <v>2.465933063458573E-3</v>
      </c>
      <c r="P144" s="27">
        <f>+P21/(('BS (Bull-Case)'!P6+'BS (Bull-Case)'!P7+'BS (Bull-Case)'!P12)+('BS (Bull-Case)'!O6+'BS (Bull-Case)'!O7+'BS (Bull-Case)'!O12)/2)</f>
        <v>4.9067713444553383E-3</v>
      </c>
      <c r="Q144" s="27">
        <f>+Q21/(('BS (Bull-Case)'!Q6+'BS (Bull-Case)'!Q7+'BS (Bull-Case)'!Q12)+('BS (Bull-Case)'!P6+'BS (Bull-Case)'!P7+'BS (Bull-Case)'!P12)/2)</f>
        <v>2.2641350477574504E-3</v>
      </c>
      <c r="R144" s="137"/>
      <c r="S144" s="27">
        <f>+S21/(('BS (Bull-Case)'!S6+'BS (Bull-Case)'!S7+'BS (Bull-Case)'!S12)+('BS (Bull-Case)'!Q6+'BS (Bull-Case)'!Q7+'BS (Bull-Case)'!Q12)/2)</f>
        <v>-1.2810330250313835E-5</v>
      </c>
      <c r="T144" s="27">
        <f>+T21/(('BS (Bull-Case)'!T6+'BS (Bull-Case)'!T7+'BS (Bull-Case)'!T12)+('BS (Bull-Case)'!S6+'BS (Bull-Case)'!S7+'BS (Bull-Case)'!S12)/2)</f>
        <v>7.1679593764030023E-3</v>
      </c>
      <c r="U144" s="27">
        <f>+U21/(('BS (Bull-Case)'!U6+'BS (Bull-Case)'!U7+'BS (Bull-Case)'!U12)+('BS (Bull-Case)'!T6+'BS (Bull-Case)'!T7+'BS (Bull-Case)'!T12)/2)</f>
        <v>3.4813492865871276E-3</v>
      </c>
      <c r="V144" s="35">
        <f>U144+0.25%</f>
        <v>5.9813492865871277E-3</v>
      </c>
      <c r="W144" s="137"/>
      <c r="X144" s="35">
        <f>V144+0.25%</f>
        <v>8.4813492865871282E-3</v>
      </c>
      <c r="Y144" s="35">
        <f>X144+0.5%</f>
        <v>1.3481349286587129E-2</v>
      </c>
      <c r="Z144" s="35">
        <f>Y144</f>
        <v>1.3481349286587129E-2</v>
      </c>
      <c r="AA144" s="35">
        <f>Z144-0.5%</f>
        <v>8.4813492865871282E-3</v>
      </c>
      <c r="AB144" s="137"/>
      <c r="AC144" s="35">
        <f>AA144</f>
        <v>8.4813492865871282E-3</v>
      </c>
      <c r="AD144" s="35">
        <f>AC144</f>
        <v>8.4813492865871282E-3</v>
      </c>
      <c r="AE144" s="35">
        <f>AD144</f>
        <v>8.4813492865871282E-3</v>
      </c>
      <c r="AF144" s="35">
        <f>AE144</f>
        <v>8.4813492865871282E-3</v>
      </c>
      <c r="AG144" s="29"/>
      <c r="AH144" s="35">
        <f>AF144</f>
        <v>8.4813492865871282E-3</v>
      </c>
      <c r="AI144" s="35">
        <f>AH144</f>
        <v>8.4813492865871282E-3</v>
      </c>
      <c r="AJ144" s="35">
        <f>AI144</f>
        <v>8.4813492865871282E-3</v>
      </c>
      <c r="AK144" s="35">
        <f>AJ144</f>
        <v>8.4813492865871282E-3</v>
      </c>
      <c r="AL144" s="29"/>
      <c r="AM144" s="35">
        <f>AK144</f>
        <v>8.4813492865871282E-3</v>
      </c>
      <c r="AN144" s="35">
        <f t="shared" ref="AN144:AP145" si="456">AM144</f>
        <v>8.4813492865871282E-3</v>
      </c>
      <c r="AO144" s="35">
        <f t="shared" si="456"/>
        <v>8.4813492865871282E-3</v>
      </c>
      <c r="AP144" s="35">
        <f t="shared" si="456"/>
        <v>8.4813492865871282E-3</v>
      </c>
      <c r="AQ144" s="29"/>
      <c r="AR144" s="35">
        <f>AP144</f>
        <v>8.4813492865871282E-3</v>
      </c>
      <c r="AS144" s="35">
        <f t="shared" ref="AS144:AU145" si="457">AR144</f>
        <v>8.4813492865871282E-3</v>
      </c>
      <c r="AT144" s="35">
        <f t="shared" si="457"/>
        <v>8.4813492865871282E-3</v>
      </c>
      <c r="AU144" s="35">
        <f t="shared" si="457"/>
        <v>8.4813492865871282E-3</v>
      </c>
      <c r="AV144" s="29"/>
    </row>
    <row r="145" spans="2:48" s="23" customFormat="1" outlineLevel="1" x14ac:dyDescent="0.3">
      <c r="B145" s="435" t="s">
        <v>79</v>
      </c>
      <c r="C145" s="436"/>
      <c r="D145" s="27"/>
      <c r="E145" s="215">
        <f>-E22/(((('BS (Bull-Case)'!E28+'BS (Bull-Case)'!E31)+('BS (Bull-Case)'!D28+'BS (Bull-Case)'!D31))/2))</f>
        <v>8.0557251242696429E-3</v>
      </c>
      <c r="F145" s="215">
        <f>-F22/(((('BS (Bull-Case)'!F28+'BS (Bull-Case)'!F31)+('BS (Bull-Case)'!E28+'BS (Bull-Case)'!E31))/2))</f>
        <v>8.4807318557490342E-3</v>
      </c>
      <c r="G145" s="215">
        <f>-G22/(((('BS (Bull-Case)'!G28+'BS (Bull-Case)'!G31)+('BS (Bull-Case)'!F28+'BS (Bull-Case)'!F31))/2))</f>
        <v>8.572925858076421E-3</v>
      </c>
      <c r="H145" s="29"/>
      <c r="I145" s="215">
        <f>-I22/(((('BS (Bull-Case)'!I28+'BS (Bull-Case)'!I31)+('BS (Bull-Case)'!G28+'BS (Bull-Case)'!G31))/2))</f>
        <v>8.0554679008449908E-3</v>
      </c>
      <c r="J145" s="215">
        <f>-J22/(((('BS (Bull-Case)'!J28+'BS (Bull-Case)'!J31)+('BS (Bull-Case)'!I28+'BS (Bull-Case)'!I31))/2))</f>
        <v>7.730372102084551E-3</v>
      </c>
      <c r="K145" s="215">
        <f>-K22/(((('BS (Bull-Case)'!K28+'BS (Bull-Case)'!K31)+('BS (Bull-Case)'!J28+'BS (Bull-Case)'!J31))/2))</f>
        <v>7.8322294946980078E-3</v>
      </c>
      <c r="L145" s="215">
        <f>-L22/(((('BS (Bull-Case)'!L28+'BS (Bull-Case)'!L31)+('BS (Bull-Case)'!K28+'BS (Bull-Case)'!K31))/2))</f>
        <v>7.5346594333936109E-3</v>
      </c>
      <c r="M145" s="29"/>
      <c r="N145" s="215">
        <f>-N22/(((('BS (Bull-Case)'!N28+'BS (Bull-Case)'!N31)+('BS (Bull-Case)'!L28+'BS (Bull-Case)'!L31))/2))</f>
        <v>7.481930548840208E-3</v>
      </c>
      <c r="O145" s="215">
        <f>-O22/(((('BS (Bull-Case)'!O28+'BS (Bull-Case)'!O31)+('BS (Bull-Case)'!N28+'BS (Bull-Case)'!N31))/2))</f>
        <v>7.5250206938069089E-3</v>
      </c>
      <c r="P145" s="215">
        <f>-P22/(((('BS (Bull-Case)'!P28+'BS (Bull-Case)'!P31)+('BS (Bull-Case)'!O28+'BS (Bull-Case)'!O31))/2))</f>
        <v>7.7494216976973845E-3</v>
      </c>
      <c r="Q145" s="215">
        <f>-Q22/(((('BS (Bull-Case)'!Q28+'BS (Bull-Case)'!Q31)+('BS (Bull-Case)'!P28+'BS (Bull-Case)'!P31))/2))</f>
        <v>8.2506952544819535E-3</v>
      </c>
      <c r="R145" s="29"/>
      <c r="S145" s="215">
        <f>-S22/(((('BS (Bull-Case)'!S28+'BS (Bull-Case)'!S31)+('BS (Bull-Case)'!Q28+'BS (Bull-Case)'!Q31))/2))</f>
        <v>7.8431639309692741E-3</v>
      </c>
      <c r="T145" s="215">
        <f>-T22/(((('BS (Bull-Case)'!T28+'BS (Bull-Case)'!T31)+('BS (Bull-Case)'!S28+'BS (Bull-Case)'!S31))/2))</f>
        <v>7.7341177845746236E-3</v>
      </c>
      <c r="U145" s="215">
        <f>-U22/(((('BS (Bull-Case)'!U28+'BS (Bull-Case)'!U31)+('BS (Bull-Case)'!T28+'BS (Bull-Case)'!T31))/2))</f>
        <v>7.9054937080361813E-3</v>
      </c>
      <c r="V145" s="35">
        <f>U145</f>
        <v>7.9054937080361813E-3</v>
      </c>
      <c r="W145" s="137"/>
      <c r="X145" s="35">
        <f>V145+0.01%</f>
        <v>8.0054937080361807E-3</v>
      </c>
      <c r="Y145" s="35">
        <f>X145+0.01%</f>
        <v>8.1054937080361801E-3</v>
      </c>
      <c r="Z145" s="35">
        <f t="shared" ref="Z145:AA145" si="458">Y145+0.01%</f>
        <v>8.2054937080361795E-3</v>
      </c>
      <c r="AA145" s="35">
        <f t="shared" si="458"/>
        <v>8.3054937080361789E-3</v>
      </c>
      <c r="AB145" s="137"/>
      <c r="AC145" s="35">
        <f>AA145+0.01%</f>
        <v>8.4054937080361783E-3</v>
      </c>
      <c r="AD145" s="35">
        <f>AC145+0.01%</f>
        <v>8.5054937080361777E-3</v>
      </c>
      <c r="AE145" s="35">
        <f t="shared" ref="AE145:AF145" si="459">AD145+0.01%</f>
        <v>8.6054937080361771E-3</v>
      </c>
      <c r="AF145" s="35">
        <f t="shared" si="459"/>
        <v>8.7054937080361765E-3</v>
      </c>
      <c r="AG145" s="29"/>
      <c r="AH145" s="35">
        <f>AF145+0.01%</f>
        <v>8.8054937080361759E-3</v>
      </c>
      <c r="AI145" s="35">
        <f>AH145+0.01%</f>
        <v>8.9054937080361753E-3</v>
      </c>
      <c r="AJ145" s="35">
        <f t="shared" ref="AJ145:AK145" si="460">AI145+0.01%</f>
        <v>9.0054937080361747E-3</v>
      </c>
      <c r="AK145" s="35">
        <f t="shared" si="460"/>
        <v>9.1054937080361741E-3</v>
      </c>
      <c r="AL145" s="29"/>
      <c r="AM145" s="35">
        <f>AK145</f>
        <v>9.1054937080361741E-3</v>
      </c>
      <c r="AN145" s="35">
        <f t="shared" si="456"/>
        <v>9.1054937080361741E-3</v>
      </c>
      <c r="AO145" s="35">
        <f t="shared" si="456"/>
        <v>9.1054937080361741E-3</v>
      </c>
      <c r="AP145" s="35">
        <f t="shared" si="456"/>
        <v>9.1054937080361741E-3</v>
      </c>
      <c r="AQ145" s="29"/>
      <c r="AR145" s="35">
        <f>AP145</f>
        <v>9.1054937080361741E-3</v>
      </c>
      <c r="AS145" s="35">
        <f t="shared" si="457"/>
        <v>9.1054937080361741E-3</v>
      </c>
      <c r="AT145" s="35">
        <f t="shared" si="457"/>
        <v>9.1054937080361741E-3</v>
      </c>
      <c r="AU145" s="35">
        <f t="shared" si="457"/>
        <v>9.1054937080361741E-3</v>
      </c>
      <c r="AV145" s="29"/>
    </row>
    <row r="146" spans="2:48" s="23" customFormat="1" outlineLevel="1" x14ac:dyDescent="0.3">
      <c r="B146" s="200" t="s">
        <v>186</v>
      </c>
      <c r="C146" s="201"/>
      <c r="D146" s="113"/>
      <c r="E146" s="113"/>
      <c r="F146" s="113"/>
      <c r="G146" s="113"/>
      <c r="H146" s="137"/>
      <c r="I146" s="113">
        <f>I33/D33-1</f>
        <v>0.2254857129231771</v>
      </c>
      <c r="J146" s="113">
        <f t="shared" ref="J146:AV147" si="461">J33/E33-1</f>
        <v>-0.47546772308917484</v>
      </c>
      <c r="K146" s="113">
        <f t="shared" si="461"/>
        <v>-1.5172211898784418</v>
      </c>
      <c r="L146" s="113">
        <f t="shared" si="461"/>
        <v>-0.49266142278343572</v>
      </c>
      <c r="M146" s="137">
        <f t="shared" si="461"/>
        <v>-0.73466371126240593</v>
      </c>
      <c r="N146" s="113">
        <f t="shared" si="461"/>
        <v>-0.292754196932551</v>
      </c>
      <c r="O146" s="113">
        <f t="shared" si="461"/>
        <v>1.0009687774744878</v>
      </c>
      <c r="P146" s="113">
        <f t="shared" si="461"/>
        <v>-2.6748075301104208</v>
      </c>
      <c r="Q146" s="113">
        <f t="shared" si="461"/>
        <v>3.4604705530296798</v>
      </c>
      <c r="R146" s="137">
        <f t="shared" si="461"/>
        <v>3.5714373754781779</v>
      </c>
      <c r="S146" s="113">
        <f t="shared" si="461"/>
        <v>0.31844745711851452</v>
      </c>
      <c r="T146" s="113">
        <f t="shared" si="461"/>
        <v>5.0603007043171555E-2</v>
      </c>
      <c r="U146" s="113">
        <f t="shared" si="461"/>
        <v>-0.18430865147381992</v>
      </c>
      <c r="V146" s="113">
        <f t="shared" si="461"/>
        <v>-0.55234250692993192</v>
      </c>
      <c r="W146" s="137">
        <f t="shared" si="461"/>
        <v>-0.22716128751643805</v>
      </c>
      <c r="X146" s="113">
        <f t="shared" si="461"/>
        <v>2.5231693950151124E-2</v>
      </c>
      <c r="Y146" s="113">
        <f t="shared" si="461"/>
        <v>0.18241678668008721</v>
      </c>
      <c r="Z146" s="113">
        <f t="shared" si="461"/>
        <v>0.12396116589309214</v>
      </c>
      <c r="AA146" s="113">
        <f t="shared" si="461"/>
        <v>0.42808650952902894</v>
      </c>
      <c r="AB146" s="137">
        <f t="shared" si="461"/>
        <v>0.18543462545282785</v>
      </c>
      <c r="AC146" s="113">
        <f t="shared" si="461"/>
        <v>0.40113101295415876</v>
      </c>
      <c r="AD146" s="113">
        <f t="shared" si="461"/>
        <v>0.18787690508834309</v>
      </c>
      <c r="AE146" s="113">
        <f t="shared" si="461"/>
        <v>0.149640740442889</v>
      </c>
      <c r="AF146" s="113">
        <f t="shared" si="461"/>
        <v>6.2772104961745123E-2</v>
      </c>
      <c r="AG146" s="137">
        <f t="shared" si="461"/>
        <v>0.18748672093761387</v>
      </c>
      <c r="AH146" s="113">
        <f t="shared" si="461"/>
        <v>0.20062292532686521</v>
      </c>
      <c r="AI146" s="113">
        <f t="shared" si="461"/>
        <v>0.21896966839231524</v>
      </c>
      <c r="AJ146" s="113">
        <f t="shared" si="461"/>
        <v>0.28465653197256957</v>
      </c>
      <c r="AK146" s="113">
        <f t="shared" si="461"/>
        <v>0.25881046104595562</v>
      </c>
      <c r="AL146" s="137">
        <f t="shared" si="461"/>
        <v>0.24155989868853056</v>
      </c>
      <c r="AM146" s="113">
        <f t="shared" si="461"/>
        <v>0.15550238270344274</v>
      </c>
      <c r="AN146" s="113">
        <f t="shared" si="461"/>
        <v>0.14849326340658897</v>
      </c>
      <c r="AO146" s="113">
        <f t="shared" si="461"/>
        <v>0.10980792765814429</v>
      </c>
      <c r="AP146" s="113">
        <f t="shared" si="461"/>
        <v>9.4961569034983651E-2</v>
      </c>
      <c r="AQ146" s="137">
        <f t="shared" si="461"/>
        <v>0.1259121550862512</v>
      </c>
      <c r="AR146" s="113">
        <f t="shared" si="461"/>
        <v>7.7680615371600314E-2</v>
      </c>
      <c r="AS146" s="113">
        <f t="shared" si="461"/>
        <v>7.9969197960106708E-2</v>
      </c>
      <c r="AT146" s="113">
        <f t="shared" si="461"/>
        <v>7.6579295685939019E-2</v>
      </c>
      <c r="AU146" s="113">
        <f t="shared" si="461"/>
        <v>7.8836035592487308E-2</v>
      </c>
      <c r="AV146" s="137">
        <f t="shared" si="461"/>
        <v>7.8169046651729523E-2</v>
      </c>
    </row>
    <row r="147" spans="2:48" s="23" customFormat="1" outlineLevel="1" x14ac:dyDescent="0.3">
      <c r="B147" s="200" t="s">
        <v>139</v>
      </c>
      <c r="C147" s="201"/>
      <c r="D147" s="27"/>
      <c r="E147" s="27"/>
      <c r="F147" s="27"/>
      <c r="G147" s="27"/>
      <c r="H147" s="29"/>
      <c r="I147" s="27">
        <f t="shared" ref="I147:V147" si="462">I34/D34-1</f>
        <v>5.9389868457878192E-2</v>
      </c>
      <c r="J147" s="27">
        <f t="shared" si="462"/>
        <v>-0.47460546003783222</v>
      </c>
      <c r="K147" s="27">
        <f t="shared" si="462"/>
        <v>-1.5922286955663072</v>
      </c>
      <c r="L147" s="113">
        <f t="shared" si="462"/>
        <v>-0.26631134736842188</v>
      </c>
      <c r="M147" s="137">
        <f t="shared" si="462"/>
        <v>-0.59372113780519853</v>
      </c>
      <c r="N147" s="113">
        <f t="shared" si="462"/>
        <v>-0.23228377390823718</v>
      </c>
      <c r="O147" s="113">
        <f t="shared" si="462"/>
        <v>0.96992458477270005</v>
      </c>
      <c r="P147" s="113">
        <f t="shared" si="462"/>
        <v>-3.1776350920116565</v>
      </c>
      <c r="Q147" s="113">
        <f t="shared" si="462"/>
        <v>0.95350602232643134</v>
      </c>
      <c r="R147" s="29">
        <f t="shared" si="462"/>
        <v>1.8162682861720394</v>
      </c>
      <c r="S147" s="113">
        <f t="shared" si="462"/>
        <v>0.18036058258616094</v>
      </c>
      <c r="T147" s="113">
        <f t="shared" si="462"/>
        <v>-5.6546752866856842E-2</v>
      </c>
      <c r="U147" s="113">
        <f t="shared" si="462"/>
        <v>-0.16448812865885809</v>
      </c>
      <c r="V147" s="113">
        <f t="shared" si="462"/>
        <v>-0.26279791380310435</v>
      </c>
      <c r="W147" s="137">
        <f>W34/(R34-0.1-0.04)-1</f>
        <v>-7.1525533573520983E-2</v>
      </c>
      <c r="X147" s="113">
        <f t="shared" si="461"/>
        <v>8.3918428452919969E-2</v>
      </c>
      <c r="Y147" s="113">
        <f t="shared" si="461"/>
        <v>0.24658284973868394</v>
      </c>
      <c r="Z147" s="113">
        <f t="shared" si="461"/>
        <v>0.10698440435699252</v>
      </c>
      <c r="AA147" s="113">
        <f t="shared" si="461"/>
        <v>0.34579772272706344</v>
      </c>
      <c r="AB147" s="137">
        <f t="shared" si="461"/>
        <v>0.19067872930424135</v>
      </c>
      <c r="AC147" s="113">
        <f t="shared" si="461"/>
        <v>0.32616524253232737</v>
      </c>
      <c r="AD147" s="113">
        <f t="shared" si="461"/>
        <v>0.17763902608052695</v>
      </c>
      <c r="AE147" s="113">
        <f t="shared" si="461"/>
        <v>0.14324456872619029</v>
      </c>
      <c r="AF147" s="113">
        <f t="shared" si="461"/>
        <v>6.0206240089520691E-2</v>
      </c>
      <c r="AG147" s="137">
        <f t="shared" si="461"/>
        <v>0.16828670543107682</v>
      </c>
      <c r="AH147" s="113">
        <f t="shared" si="461"/>
        <v>0.19302658995828836</v>
      </c>
      <c r="AI147" s="113">
        <f t="shared" si="461"/>
        <v>0.20904214937374599</v>
      </c>
      <c r="AJ147" s="113">
        <f t="shared" si="461"/>
        <v>0.27520310772325396</v>
      </c>
      <c r="AK147" s="113">
        <f t="shared" si="461"/>
        <v>0.25121174026120863</v>
      </c>
      <c r="AL147" s="137">
        <f t="shared" si="461"/>
        <v>0.23295916686678675</v>
      </c>
      <c r="AM147" s="113">
        <f t="shared" si="461"/>
        <v>0.15233648787980769</v>
      </c>
      <c r="AN147" s="113">
        <f t="shared" si="461"/>
        <v>0.14503966988692696</v>
      </c>
      <c r="AO147" s="113">
        <f t="shared" si="461"/>
        <v>0.10745460852616806</v>
      </c>
      <c r="AP147" s="113">
        <f t="shared" si="461"/>
        <v>9.210282031709105E-2</v>
      </c>
      <c r="AQ147" s="29">
        <f t="shared" si="461"/>
        <v>0.12299431480634371</v>
      </c>
      <c r="AR147" s="113">
        <f t="shared" si="461"/>
        <v>7.5540015939600913E-2</v>
      </c>
      <c r="AS147" s="113">
        <f t="shared" si="461"/>
        <v>7.7329460197143041E-2</v>
      </c>
      <c r="AT147" s="113">
        <f t="shared" si="461"/>
        <v>7.4576794188168316E-2</v>
      </c>
      <c r="AU147" s="113">
        <f t="shared" si="461"/>
        <v>7.6668224405108676E-2</v>
      </c>
      <c r="AV147" s="29">
        <f t="shared" si="461"/>
        <v>7.5954480374797795E-2</v>
      </c>
    </row>
    <row r="148" spans="2:48" s="23" customFormat="1" outlineLevel="1" x14ac:dyDescent="0.3">
      <c r="B148" s="200" t="s">
        <v>140</v>
      </c>
      <c r="C148" s="201"/>
      <c r="D148" s="27"/>
      <c r="E148" s="27"/>
      <c r="F148" s="27"/>
      <c r="G148" s="27"/>
      <c r="H148" s="29"/>
      <c r="I148" s="27">
        <f>'CFS (Bull-Case)'!I55</f>
        <v>-0.22820512820512895</v>
      </c>
      <c r="J148" s="27">
        <f>'CFS (Bull-Case)'!J55</f>
        <v>-4.4869364754098413</v>
      </c>
      <c r="K148" s="27">
        <f>'CFS (Bull-Case)'!K55</f>
        <v>-1.314434752864716</v>
      </c>
      <c r="L148" s="113">
        <f>'CFS (Bull-Case)'!L55</f>
        <v>0.34527569713924766</v>
      </c>
      <c r="M148" s="137">
        <f>'CFS (Bull-Case)'!M55</f>
        <v>-0.68340961778517451</v>
      </c>
      <c r="N148" s="113">
        <f>'CFS (Bull-Case)'!N55</f>
        <v>-2.1785305811139466E-4</v>
      </c>
      <c r="O148" s="113">
        <f>'CFS (Bull-Case)'!O55</f>
        <v>-1.649232351428781</v>
      </c>
      <c r="P148" s="113">
        <f>'CFS (Bull-Case)'!P55</f>
        <v>-5.7565950503127619</v>
      </c>
      <c r="Q148" s="113">
        <f>'CFS (Bull-Case)'!Q55</f>
        <v>2.012477359629572E-2</v>
      </c>
      <c r="R148" s="29">
        <f>'CFS (Bull-Case)'!R55</f>
        <v>2.7484040555764064</v>
      </c>
      <c r="S148" s="113">
        <f>'CFS (Bull-Case)'!S55</f>
        <v>1.9175246499972598E-2</v>
      </c>
      <c r="T148" s="113">
        <f>'CFS (Bull-Case)'!T55</f>
        <v>-0.81681375876895213</v>
      </c>
      <c r="U148" s="113">
        <f>'CFS (Bull-Case)'!U55</f>
        <v>-0.27684391080617499</v>
      </c>
      <c r="V148" s="113">
        <f>'CFS (Bull-Case)'!V55</f>
        <v>-0.12064240558931372</v>
      </c>
      <c r="W148" s="137">
        <f>'CFS (Bull-Case)'!W55</f>
        <v>-0.22613385864216728</v>
      </c>
      <c r="X148" s="113">
        <f>'CFS (Bull-Case)'!X55</f>
        <v>-0.10202257899727174</v>
      </c>
      <c r="Y148" s="113">
        <f>'CFS (Bull-Case)'!Y55</f>
        <v>3.4902122562032138</v>
      </c>
      <c r="Z148" s="113">
        <f>'CFS (Bull-Case)'!Z55</f>
        <v>-0.13908385800347733</v>
      </c>
      <c r="AA148" s="113">
        <f>'CFS (Bull-Case)'!AA55</f>
        <v>0.47188137767294025</v>
      </c>
      <c r="AB148" s="137">
        <f>'CFS (Bull-Case)'!AB55</f>
        <v>0.17892666103689892</v>
      </c>
      <c r="AC148" s="113">
        <f>'CFS (Bull-Case)'!AC55</f>
        <v>0.26525847049352413</v>
      </c>
      <c r="AD148" s="113">
        <f>'CFS (Bull-Case)'!AD55</f>
        <v>0.40446824239817536</v>
      </c>
      <c r="AE148" s="113">
        <f>'CFS (Bull-Case)'!AE55</f>
        <v>0.3717136627817168</v>
      </c>
      <c r="AF148" s="113">
        <f>'CFS (Bull-Case)'!AF55</f>
        <v>-9.2020756279997951E-3</v>
      </c>
      <c r="AG148" s="137">
        <f>'CFS (Bull-Case)'!AG55</f>
        <v>0.20612914314124442</v>
      </c>
      <c r="AH148" s="113">
        <f>'CFS (Bull-Case)'!AH55</f>
        <v>0.11940623718188159</v>
      </c>
      <c r="AI148" s="113">
        <f>'CFS (Bull-Case)'!AI55</f>
        <v>0.16670708613608487</v>
      </c>
      <c r="AJ148" s="113">
        <f>'CFS (Bull-Case)'!AJ55</f>
        <v>0.14165531421669653</v>
      </c>
      <c r="AK148" s="113">
        <f>'CFS (Bull-Case)'!AK55</f>
        <v>0.18275129009536695</v>
      </c>
      <c r="AL148" s="29">
        <f>'CFS (Bull-Case)'!AL55</f>
        <v>0.15052069060410989</v>
      </c>
      <c r="AM148" s="113">
        <f>'CFS (Bull-Case)'!AM55</f>
        <v>0.13132402147725508</v>
      </c>
      <c r="AN148" s="113">
        <f>'CFS (Bull-Case)'!AN55</f>
        <v>0.1069781218342758</v>
      </c>
      <c r="AO148" s="113">
        <f>'CFS (Bull-Case)'!AO55</f>
        <v>8.2108327296507966E-2</v>
      </c>
      <c r="AP148" s="113">
        <f>'CFS (Bull-Case)'!AP55</f>
        <v>0.10339196438657239</v>
      </c>
      <c r="AQ148" s="29">
        <f>'CFS (Bull-Case)'!AQ55</f>
        <v>0.1079343498311911</v>
      </c>
      <c r="AR148" s="113">
        <f>'CFS (Bull-Case)'!AR55</f>
        <v>9.3045765577733475E-2</v>
      </c>
      <c r="AS148" s="113">
        <f>'CFS (Bull-Case)'!AS55</f>
        <v>9.2694012854325436E-2</v>
      </c>
      <c r="AT148" s="113">
        <f>'CFS (Bull-Case)'!AT55</f>
        <v>0.10490882305563765</v>
      </c>
      <c r="AU148" s="113">
        <f>'CFS (Bull-Case)'!AU55</f>
        <v>5.8563694838624558E-2</v>
      </c>
      <c r="AV148" s="29">
        <f>'CFS (Bull-Case)'!AV55</f>
        <v>8.5150019351976525E-2</v>
      </c>
    </row>
    <row r="149" spans="2:48" s="23" customFormat="1" outlineLevel="1" x14ac:dyDescent="0.3">
      <c r="B149" s="200" t="s">
        <v>335</v>
      </c>
      <c r="C149" s="201"/>
      <c r="D149" s="27"/>
      <c r="E149" s="27"/>
      <c r="F149" s="27"/>
      <c r="G149" s="27"/>
      <c r="H149" s="29"/>
      <c r="I149" s="27"/>
      <c r="J149" s="27"/>
      <c r="K149" s="27"/>
      <c r="L149" s="113"/>
      <c r="M149" s="137"/>
      <c r="N149" s="113"/>
      <c r="O149" s="113"/>
      <c r="P149" s="113"/>
      <c r="Q149" s="113"/>
      <c r="R149" s="29"/>
      <c r="S149" s="113"/>
      <c r="T149" s="113"/>
      <c r="U149" s="113"/>
      <c r="V149" s="113"/>
      <c r="W149" s="137"/>
      <c r="X149" s="113"/>
      <c r="Y149" s="113"/>
      <c r="Z149" s="113"/>
      <c r="AA149" s="113"/>
      <c r="AB149" s="137"/>
      <c r="AC149" s="113"/>
      <c r="AD149" s="113"/>
      <c r="AE149" s="113"/>
      <c r="AF149" s="113"/>
      <c r="AG149" s="137"/>
      <c r="AH149" s="113"/>
      <c r="AI149" s="113"/>
      <c r="AJ149" s="113"/>
      <c r="AK149" s="113"/>
      <c r="AL149" s="406">
        <f>(AL34/W34)^(1/3)-1</f>
        <v>0.19700943780844304</v>
      </c>
      <c r="AM149" s="113"/>
      <c r="AN149" s="113"/>
      <c r="AO149" s="113"/>
      <c r="AP149" s="113"/>
      <c r="AQ149" s="29"/>
      <c r="AR149" s="113"/>
      <c r="AS149" s="113"/>
      <c r="AT149" s="113"/>
      <c r="AU149" s="113"/>
      <c r="AV149" s="29"/>
    </row>
    <row r="150" spans="2:48" ht="17.399999999999999" x14ac:dyDescent="0.45">
      <c r="B150" s="433" t="s">
        <v>130</v>
      </c>
      <c r="C150" s="434"/>
      <c r="D150" s="14" t="s">
        <v>19</v>
      </c>
      <c r="E150" s="14" t="s">
        <v>81</v>
      </c>
      <c r="F150" s="14" t="s">
        <v>85</v>
      </c>
      <c r="G150" s="14" t="s">
        <v>95</v>
      </c>
      <c r="H150" s="40" t="s">
        <v>96</v>
      </c>
      <c r="I150" s="14" t="s">
        <v>97</v>
      </c>
      <c r="J150" s="14" t="s">
        <v>98</v>
      </c>
      <c r="K150" s="14" t="s">
        <v>99</v>
      </c>
      <c r="L150" s="14" t="s">
        <v>142</v>
      </c>
      <c r="M150" s="40" t="s">
        <v>143</v>
      </c>
      <c r="N150" s="14" t="s">
        <v>149</v>
      </c>
      <c r="O150" s="14" t="s">
        <v>157</v>
      </c>
      <c r="P150" s="14" t="s">
        <v>159</v>
      </c>
      <c r="Q150" s="14" t="s">
        <v>172</v>
      </c>
      <c r="R150" s="40" t="s">
        <v>173</v>
      </c>
      <c r="S150" s="14" t="s">
        <v>188</v>
      </c>
      <c r="T150" s="14" t="s">
        <v>189</v>
      </c>
      <c r="U150" s="14" t="s">
        <v>204</v>
      </c>
      <c r="V150" s="12" t="s">
        <v>25</v>
      </c>
      <c r="W150" s="255" t="s">
        <v>26</v>
      </c>
      <c r="X150" s="12" t="s">
        <v>27</v>
      </c>
      <c r="Y150" s="12" t="s">
        <v>28</v>
      </c>
      <c r="Z150" s="12" t="s">
        <v>29</v>
      </c>
      <c r="AA150" s="12" t="s">
        <v>30</v>
      </c>
      <c r="AB150" s="42" t="s">
        <v>31</v>
      </c>
      <c r="AC150" s="12" t="s">
        <v>90</v>
      </c>
      <c r="AD150" s="12" t="s">
        <v>91</v>
      </c>
      <c r="AE150" s="12" t="s">
        <v>92</v>
      </c>
      <c r="AF150" s="12" t="s">
        <v>93</v>
      </c>
      <c r="AG150" s="42" t="s">
        <v>94</v>
      </c>
      <c r="AH150" s="12" t="s">
        <v>109</v>
      </c>
      <c r="AI150" s="12" t="s">
        <v>110</v>
      </c>
      <c r="AJ150" s="12" t="s">
        <v>111</v>
      </c>
      <c r="AK150" s="12" t="s">
        <v>112</v>
      </c>
      <c r="AL150" s="42" t="s">
        <v>113</v>
      </c>
      <c r="AM150" s="12" t="s">
        <v>164</v>
      </c>
      <c r="AN150" s="12" t="s">
        <v>165</v>
      </c>
      <c r="AO150" s="12" t="s">
        <v>166</v>
      </c>
      <c r="AP150" s="12" t="s">
        <v>167</v>
      </c>
      <c r="AQ150" s="42" t="s">
        <v>168</v>
      </c>
      <c r="AR150" s="12" t="s">
        <v>195</v>
      </c>
      <c r="AS150" s="12" t="s">
        <v>196</v>
      </c>
      <c r="AT150" s="12" t="s">
        <v>197</v>
      </c>
      <c r="AU150" s="12" t="s">
        <v>198</v>
      </c>
      <c r="AV150" s="42" t="s">
        <v>199</v>
      </c>
    </row>
    <row r="151" spans="2:48" outlineLevel="1" x14ac:dyDescent="0.3">
      <c r="B151" s="435" t="s">
        <v>208</v>
      </c>
      <c r="C151" s="436"/>
      <c r="D151" s="27"/>
      <c r="E151" s="27">
        <f t="shared" ref="E151:G151" si="463">(E30+E155+E158+E161)/D30-1</f>
        <v>2.777764747303535E-2</v>
      </c>
      <c r="F151" s="27">
        <f t="shared" si="463"/>
        <v>-1.7269004124131682E-2</v>
      </c>
      <c r="G151" s="27">
        <f t="shared" si="463"/>
        <v>1.9258933156590885E-2</v>
      </c>
      <c r="H151" s="9"/>
      <c r="I151" s="27">
        <f>(I30+I155+I158+I161)/G30-1</f>
        <v>-1.436336111538794E-2</v>
      </c>
      <c r="J151" s="27">
        <f t="shared" ref="J151:L151" si="464">(J30+J155+J158+J161)/I30-1</f>
        <v>-1.1333810572689007E-3</v>
      </c>
      <c r="K151" s="27">
        <f t="shared" si="464"/>
        <v>-2.8161802355349819E-3</v>
      </c>
      <c r="L151" s="27">
        <f t="shared" si="464"/>
        <v>-9.5210569021197955E-4</v>
      </c>
      <c r="M151" s="9"/>
      <c r="N151" s="27">
        <f>(N30+N155+N158+N161)/L30-1</f>
        <v>6.5210015787404707E-3</v>
      </c>
      <c r="O151" s="27">
        <f t="shared" ref="O151:Q151" si="465">(O30+O155+O158+O161)/N30-1</f>
        <v>2.1276595744681437E-3</v>
      </c>
      <c r="P151" s="27">
        <f t="shared" si="465"/>
        <v>8.4925690021231404E-4</v>
      </c>
      <c r="Q151" s="27">
        <f t="shared" si="465"/>
        <v>8.4925690021231404E-4</v>
      </c>
      <c r="R151" s="9"/>
      <c r="S151" s="27">
        <f>(S30+S155+S158+S161)/Q30-1</f>
        <v>1.7994180128374726E-2</v>
      </c>
      <c r="T151" s="27">
        <f>(T30+T155+T158+T161)/S30-1</f>
        <v>-1.2989686217510177E-2</v>
      </c>
      <c r="U151" s="27">
        <f>(U30+U155+U158+U161)/T30-1</f>
        <v>-1.9143752175426743E-3</v>
      </c>
      <c r="V151" s="35">
        <v>2E-3</v>
      </c>
      <c r="W151" s="256"/>
      <c r="X151" s="35">
        <v>2E-3</v>
      </c>
      <c r="Y151" s="35">
        <v>2E-3</v>
      </c>
      <c r="Z151" s="35">
        <v>2E-3</v>
      </c>
      <c r="AA151" s="35">
        <v>2E-3</v>
      </c>
      <c r="AB151" s="9"/>
      <c r="AC151" s="35">
        <v>2E-3</v>
      </c>
      <c r="AD151" s="35">
        <v>2E-3</v>
      </c>
      <c r="AE151" s="35">
        <v>2E-3</v>
      </c>
      <c r="AF151" s="35">
        <v>2E-3</v>
      </c>
      <c r="AG151" s="9"/>
      <c r="AH151" s="35">
        <v>2E-3</v>
      </c>
      <c r="AI151" s="35">
        <v>2E-3</v>
      </c>
      <c r="AJ151" s="35">
        <v>2E-3</v>
      </c>
      <c r="AK151" s="35">
        <v>2E-3</v>
      </c>
      <c r="AL151" s="9"/>
      <c r="AM151" s="35">
        <v>2E-3</v>
      </c>
      <c r="AN151" s="35">
        <v>2E-3</v>
      </c>
      <c r="AO151" s="35">
        <v>2E-3</v>
      </c>
      <c r="AP151" s="35">
        <v>2E-3</v>
      </c>
      <c r="AQ151" s="9"/>
      <c r="AR151" s="35">
        <v>2E-3</v>
      </c>
      <c r="AS151" s="35">
        <v>2E-3</v>
      </c>
      <c r="AT151" s="35">
        <v>2E-3</v>
      </c>
      <c r="AU151" s="35">
        <v>2E-3</v>
      </c>
      <c r="AV151" s="9"/>
    </row>
    <row r="152" spans="2:48" outlineLevel="1" x14ac:dyDescent="0.3">
      <c r="B152" s="435" t="s">
        <v>209</v>
      </c>
      <c r="C152" s="436"/>
      <c r="D152" s="27"/>
      <c r="E152" s="27">
        <f t="shared" ref="E152:G152" si="466">(E31+E155+E158+E161)/D31-1</f>
        <v>2.7604785512613583E-2</v>
      </c>
      <c r="F152" s="27">
        <f t="shared" si="466"/>
        <v>-1.6710442080933863E-2</v>
      </c>
      <c r="G152" s="27">
        <f t="shared" si="466"/>
        <v>1.9089589576967603E-2</v>
      </c>
      <c r="H152" s="9"/>
      <c r="I152" s="27">
        <f>(I31+I155+I158+I161)/G31-1</f>
        <v>-1.5386652077945762E-2</v>
      </c>
      <c r="J152" s="27">
        <f t="shared" ref="J152:L152" si="467">(J31+J155+J158+J161)/I31-1</f>
        <v>-2.5506658270361138E-3</v>
      </c>
      <c r="K152" s="27">
        <f t="shared" si="467"/>
        <v>-1.0332853392055585E-2</v>
      </c>
      <c r="L152" s="27">
        <f t="shared" si="467"/>
        <v>8.9858793324775199E-3</v>
      </c>
      <c r="M152" s="9"/>
      <c r="N152" s="27">
        <f>(N31+N155+N158+N161)/L31-1</f>
        <v>3.392705682782049E-3</v>
      </c>
      <c r="O152" s="27">
        <f t="shared" ref="O152:Q152" si="468">(O31+O155+O158+O161)/N31-1</f>
        <v>1.5215553677092597E-3</v>
      </c>
      <c r="P152" s="27">
        <f t="shared" si="468"/>
        <v>1.1816340310601969E-3</v>
      </c>
      <c r="Q152" s="27">
        <f t="shared" si="468"/>
        <v>1.4331478671387732E-3</v>
      </c>
      <c r="R152" s="9"/>
      <c r="S152" s="27">
        <f>(S31+S155+S158+S161)/Q31-1</f>
        <v>1.6689115245390962E-2</v>
      </c>
      <c r="T152" s="27">
        <f>(T31+T155+T158+T161)/S31-1</f>
        <v>-1.4867191058983376E-2</v>
      </c>
      <c r="U152" s="27">
        <f>(U31+U155+U158+U161)/T31-1</f>
        <v>-2.5132160499177214E-3</v>
      </c>
      <c r="V152" s="35">
        <v>1E-3</v>
      </c>
      <c r="W152" s="256"/>
      <c r="X152" s="35">
        <v>1E-3</v>
      </c>
      <c r="Y152" s="35">
        <v>1E-3</v>
      </c>
      <c r="Z152" s="35">
        <v>1E-3</v>
      </c>
      <c r="AA152" s="35">
        <v>1E-3</v>
      </c>
      <c r="AB152" s="9"/>
      <c r="AC152" s="35">
        <v>1E-3</v>
      </c>
      <c r="AD152" s="35">
        <v>1E-3</v>
      </c>
      <c r="AE152" s="35">
        <v>1E-3</v>
      </c>
      <c r="AF152" s="35">
        <v>1E-3</v>
      </c>
      <c r="AG152" s="9"/>
      <c r="AH152" s="35">
        <v>1E-3</v>
      </c>
      <c r="AI152" s="35">
        <v>1E-3</v>
      </c>
      <c r="AJ152" s="35">
        <v>1E-3</v>
      </c>
      <c r="AK152" s="35">
        <v>1E-3</v>
      </c>
      <c r="AL152" s="9"/>
      <c r="AM152" s="35">
        <v>1E-3</v>
      </c>
      <c r="AN152" s="35">
        <v>1E-3</v>
      </c>
      <c r="AO152" s="35">
        <v>1E-3</v>
      </c>
      <c r="AP152" s="35">
        <v>1E-3</v>
      </c>
      <c r="AQ152" s="9"/>
      <c r="AR152" s="35">
        <v>1E-3</v>
      </c>
      <c r="AS152" s="35">
        <v>1E-3</v>
      </c>
      <c r="AT152" s="35">
        <v>1E-3</v>
      </c>
      <c r="AU152" s="35">
        <v>1E-3</v>
      </c>
      <c r="AV152" s="9"/>
    </row>
    <row r="153" spans="2:48" outlineLevel="1" x14ac:dyDescent="0.3">
      <c r="B153" s="447" t="s">
        <v>137</v>
      </c>
      <c r="C153" s="448"/>
      <c r="D153" s="245"/>
      <c r="E153" s="144">
        <v>69.922678056926543</v>
      </c>
      <c r="F153" s="144">
        <v>83.13076202744692</v>
      </c>
      <c r="G153" s="144">
        <v>92.52</v>
      </c>
      <c r="H153" s="246"/>
      <c r="I153" s="144">
        <v>85.23</v>
      </c>
      <c r="J153" s="144">
        <v>78.08</v>
      </c>
      <c r="K153" s="144">
        <v>0</v>
      </c>
      <c r="L153" s="144">
        <v>0</v>
      </c>
      <c r="M153" s="246"/>
      <c r="N153" s="144">
        <v>0</v>
      </c>
      <c r="O153" s="144">
        <v>0</v>
      </c>
      <c r="P153" s="144">
        <v>0</v>
      </c>
      <c r="Q153" s="144">
        <v>0</v>
      </c>
      <c r="R153" s="246"/>
      <c r="S153" s="144">
        <v>113.12</v>
      </c>
      <c r="T153" s="144">
        <v>94.51</v>
      </c>
      <c r="U153" s="144">
        <v>0</v>
      </c>
      <c r="V153" s="247">
        <f>+U153</f>
        <v>0</v>
      </c>
      <c r="W153" s="257"/>
      <c r="X153" s="247">
        <v>0</v>
      </c>
      <c r="Y153" s="247">
        <v>0</v>
      </c>
      <c r="Z153" s="247">
        <v>0</v>
      </c>
      <c r="AA153" s="247">
        <v>0</v>
      </c>
      <c r="AB153" s="246"/>
      <c r="AC153" s="393">
        <f>AG35/0.02</f>
        <v>110.74612500000001</v>
      </c>
      <c r="AD153" s="247">
        <f>+AC153</f>
        <v>110.74612500000001</v>
      </c>
      <c r="AE153" s="247">
        <f>+AD153</f>
        <v>110.74612500000001</v>
      </c>
      <c r="AF153" s="247">
        <f>+AE153</f>
        <v>110.74612500000001</v>
      </c>
      <c r="AG153" s="390"/>
      <c r="AH153" s="393">
        <f>AL35/0.02</f>
        <v>120.33511875000001</v>
      </c>
      <c r="AI153" s="247">
        <f>AH153</f>
        <v>120.33511875000001</v>
      </c>
      <c r="AJ153" s="247">
        <f>AI153</f>
        <v>120.33511875000001</v>
      </c>
      <c r="AK153" s="247">
        <f>AJ153</f>
        <v>120.33511875000001</v>
      </c>
      <c r="AL153" s="390"/>
      <c r="AM153" s="247">
        <f>AQ35/0.02</f>
        <v>125.415934875</v>
      </c>
      <c r="AN153" s="247">
        <f>AM153</f>
        <v>125.415934875</v>
      </c>
      <c r="AO153" s="247">
        <f>AN153</f>
        <v>125.415934875</v>
      </c>
      <c r="AP153" s="247">
        <f>AO153</f>
        <v>125.415934875</v>
      </c>
      <c r="AQ153" s="246"/>
      <c r="AR153" s="247">
        <f>AV35/0.02</f>
        <v>127.92425357250004</v>
      </c>
      <c r="AS153" s="247">
        <f>AR153</f>
        <v>127.92425357250004</v>
      </c>
      <c r="AT153" s="247">
        <f>AS153</f>
        <v>127.92425357250004</v>
      </c>
      <c r="AU153" s="247">
        <f>AT153</f>
        <v>127.92425357250004</v>
      </c>
      <c r="AV153" s="246"/>
    </row>
    <row r="154" spans="2:48" outlineLevel="1" x14ac:dyDescent="0.3">
      <c r="B154" s="435" t="s">
        <v>138</v>
      </c>
      <c r="C154" s="436"/>
      <c r="D154" s="16"/>
      <c r="E154" s="105">
        <v>713.2</v>
      </c>
      <c r="F154" s="105">
        <f>954.3-713.2</f>
        <v>241.09999999999991</v>
      </c>
      <c r="G154" s="101">
        <v>2177.1942404399997</v>
      </c>
      <c r="H154" s="17">
        <f>+SUM(D154:G154)</f>
        <v>3131.4942404399999</v>
      </c>
      <c r="I154" s="101">
        <v>1107.9389472300002</v>
      </c>
      <c r="J154" s="101">
        <v>567.02921856000012</v>
      </c>
      <c r="K154" s="101">
        <v>0</v>
      </c>
      <c r="L154" s="101">
        <v>0</v>
      </c>
      <c r="M154" s="17">
        <f>+SUM(I154:L154)</f>
        <v>1674.9681657900003</v>
      </c>
      <c r="N154" s="101">
        <v>0</v>
      </c>
      <c r="O154" s="101">
        <v>0</v>
      </c>
      <c r="P154" s="101">
        <v>0</v>
      </c>
      <c r="Q154" s="101">
        <v>0</v>
      </c>
      <c r="R154" s="17">
        <f>+SUM(N154:Q154)</f>
        <v>0</v>
      </c>
      <c r="S154" s="101">
        <f>S155*S153</f>
        <v>3520.86</v>
      </c>
      <c r="T154" s="101">
        <f>T155*T153</f>
        <v>492.13842613000003</v>
      </c>
      <c r="U154" s="101">
        <v>0</v>
      </c>
      <c r="V154" s="33">
        <f>U154</f>
        <v>0</v>
      </c>
      <c r="W154" s="169">
        <f>+SUM(S154:V154)</f>
        <v>4012.9984261300001</v>
      </c>
      <c r="X154" s="33">
        <v>0</v>
      </c>
      <c r="Y154" s="33">
        <v>0</v>
      </c>
      <c r="Z154" s="33">
        <v>0</v>
      </c>
      <c r="AA154" s="33">
        <v>0</v>
      </c>
      <c r="AB154" s="17">
        <f>+SUM(X154:AA154)</f>
        <v>0</v>
      </c>
      <c r="AC154" s="33"/>
      <c r="AD154" s="33"/>
      <c r="AE154" s="33">
        <v>100</v>
      </c>
      <c r="AF154" s="33">
        <v>100</v>
      </c>
      <c r="AG154" s="17">
        <f>+SUM(AC154:AF154)</f>
        <v>200</v>
      </c>
      <c r="AH154" s="33">
        <v>100</v>
      </c>
      <c r="AI154" s="33">
        <v>100</v>
      </c>
      <c r="AJ154" s="33">
        <v>3724.6339371389654</v>
      </c>
      <c r="AK154" s="33">
        <f>AJ154</f>
        <v>3724.6339371389654</v>
      </c>
      <c r="AL154" s="17">
        <f>+SUM(AH154:AK154)</f>
        <v>7649.2678742779308</v>
      </c>
      <c r="AM154" s="33">
        <v>250</v>
      </c>
      <c r="AN154" s="33">
        <v>250</v>
      </c>
      <c r="AO154" s="33">
        <v>250</v>
      </c>
      <c r="AP154" s="33">
        <v>250</v>
      </c>
      <c r="AQ154" s="17">
        <f>+SUM(AM154:AP154)</f>
        <v>1000</v>
      </c>
      <c r="AR154" s="33">
        <v>250</v>
      </c>
      <c r="AS154" s="33">
        <v>250</v>
      </c>
      <c r="AT154" s="33">
        <v>250</v>
      </c>
      <c r="AU154" s="33">
        <v>250</v>
      </c>
      <c r="AV154" s="17">
        <f>+SUM(AR154:AU154)</f>
        <v>1000</v>
      </c>
    </row>
    <row r="155" spans="2:48" outlineLevel="1" x14ac:dyDescent="0.3">
      <c r="B155" s="435" t="s">
        <v>207</v>
      </c>
      <c r="C155" s="436"/>
      <c r="D155" s="139"/>
      <c r="E155" s="139">
        <f>IF((E154)&gt;0,(E154/E153),0)</f>
        <v>10.199838161509755</v>
      </c>
      <c r="F155" s="142">
        <f>IF((F154)&gt;0,(F154/F153),0)</f>
        <v>2.9002500893760241</v>
      </c>
      <c r="G155" s="142">
        <f>IF((G154)&gt;0,(G154/G153),0)</f>
        <v>23.532146999999998</v>
      </c>
      <c r="H155" s="49">
        <f>+SUM(D155:G155)</f>
        <v>36.632235250885778</v>
      </c>
      <c r="I155" s="139">
        <f>IF((I154)&gt;0,(I154/I153),0)</f>
        <v>12.999401000000001</v>
      </c>
      <c r="J155" s="142">
        <f>IF((J154)&gt;0,(J154/J153),0)</f>
        <v>7.262157000000002</v>
      </c>
      <c r="K155" s="139">
        <f>IF((K154)&gt;0,(K154/K153),0)</f>
        <v>0</v>
      </c>
      <c r="L155" s="139">
        <f>IF((L154)&gt;0,(L154/L153),0)</f>
        <v>0</v>
      </c>
      <c r="M155" s="49">
        <f>+SUM(I155:L155)</f>
        <v>20.261558000000001</v>
      </c>
      <c r="N155" s="139">
        <f>IF((N154)&gt;0,(N154/N153),0)</f>
        <v>0</v>
      </c>
      <c r="O155" s="139">
        <f>IF((O154)&gt;0,(O154/O153),0)</f>
        <v>0</v>
      </c>
      <c r="P155" s="139">
        <f>IF((P154)&gt;0,(P154/P153),0)</f>
        <v>0</v>
      </c>
      <c r="Q155" s="139">
        <f>IF((Q154)&gt;0,(Q154/Q153),0)</f>
        <v>0</v>
      </c>
      <c r="R155" s="49">
        <f>+SUM(N155:Q155)</f>
        <v>0</v>
      </c>
      <c r="S155" s="139">
        <v>31.125</v>
      </c>
      <c r="T155" s="142">
        <v>5.2072630000000002</v>
      </c>
      <c r="U155" s="142">
        <f>IF((U154)&gt;0,(U154/U153),0)</f>
        <v>0</v>
      </c>
      <c r="V155" s="139">
        <f>IF((V154)&gt;0,(V154/V153),0)</f>
        <v>0</v>
      </c>
      <c r="W155" s="49">
        <f>+SUM(S155:V155)</f>
        <v>36.332262999999998</v>
      </c>
      <c r="X155" s="139">
        <f>IF((X154)&gt;0,(X154/X153),0)</f>
        <v>0</v>
      </c>
      <c r="Y155" s="139">
        <f>IF((Y154)&gt;0,(Y154/Y153),0)</f>
        <v>0</v>
      </c>
      <c r="Z155" s="139">
        <f>IF((Z154)&gt;0,(Z154/Z153),0)</f>
        <v>0</v>
      </c>
      <c r="AA155" s="139">
        <f>IF((AA154)&gt;0,(AA154/AA153),0)</f>
        <v>0</v>
      </c>
      <c r="AB155" s="49">
        <f>+SUM(X155:AA155)</f>
        <v>0</v>
      </c>
      <c r="AC155" s="139">
        <f>IF((AC154)&gt;0,(AC154/AC153),0)</f>
        <v>0</v>
      </c>
      <c r="AD155" s="139">
        <f>IF((AD154)&gt;0,(AD154/AD153),0)</f>
        <v>0</v>
      </c>
      <c r="AE155" s="139">
        <f>IF((AE154)&gt;0,(AE154/AE153),0)</f>
        <v>0.90296613086913868</v>
      </c>
      <c r="AF155" s="139">
        <f>IF((AF154)&gt;0,(AF154/AF153),0)</f>
        <v>0.90296613086913868</v>
      </c>
      <c r="AG155" s="49">
        <f>+SUM(AC155:AF155)</f>
        <v>1.8059322617382774</v>
      </c>
      <c r="AH155" s="139">
        <f>IF((AH154)&gt;0,(AH154/AH153),0)</f>
        <v>0.83101260079988071</v>
      </c>
      <c r="AI155" s="139">
        <f>IF((AI154)&gt;0,(AI154/AI153),0)</f>
        <v>0.83101260079988071</v>
      </c>
      <c r="AJ155" s="139">
        <f>IF((AJ154)&gt;0,(AJ154/AJ153),0)</f>
        <v>30.952177351293511</v>
      </c>
      <c r="AK155" s="139">
        <f>IF((AK154)&gt;0,(AK154/AK153),0)</f>
        <v>30.952177351293511</v>
      </c>
      <c r="AL155" s="49">
        <f>+SUM(AH155:AK155)</f>
        <v>63.566379904186789</v>
      </c>
      <c r="AM155" s="139">
        <f>IF((AM154)&gt;0,(AM154/AM153),0)</f>
        <v>1.9933671127928909</v>
      </c>
      <c r="AN155" s="139">
        <f>IF((AN154)&gt;0,(AN154/AN153),0)</f>
        <v>1.9933671127928909</v>
      </c>
      <c r="AO155" s="139">
        <f>IF((AO154)&gt;0,(AO154/AO153),0)</f>
        <v>1.9933671127928909</v>
      </c>
      <c r="AP155" s="139">
        <f>IF((AP154)&gt;0,(AP154/AP153),0)</f>
        <v>1.9933671127928909</v>
      </c>
      <c r="AQ155" s="49">
        <f>+SUM(AM155:AP155)</f>
        <v>7.9734684511715637</v>
      </c>
      <c r="AR155" s="139">
        <f>IF((AR154)&gt;0,(AR154/AR153),0)</f>
        <v>1.9542814831302848</v>
      </c>
      <c r="AS155" s="139">
        <f>IF((AS154)&gt;0,(AS154/AS153),0)</f>
        <v>1.9542814831302848</v>
      </c>
      <c r="AT155" s="139">
        <f>IF((AT154)&gt;0,(AT154/AT153),0)</f>
        <v>1.9542814831302848</v>
      </c>
      <c r="AU155" s="139">
        <f>IF((AU154)&gt;0,(AU154/AU153),0)</f>
        <v>1.9542814831302848</v>
      </c>
      <c r="AV155" s="49">
        <f>+SUM(AR155:AU155)</f>
        <v>7.8171259325211393</v>
      </c>
    </row>
    <row r="156" spans="2:48" outlineLevel="1" x14ac:dyDescent="0.3">
      <c r="B156" s="439" t="s">
        <v>131</v>
      </c>
      <c r="C156" s="440"/>
      <c r="D156" s="143">
        <v>55.58</v>
      </c>
      <c r="E156" s="144">
        <v>65.03</v>
      </c>
      <c r="F156" s="96"/>
      <c r="G156" s="96"/>
      <c r="H156" s="76"/>
      <c r="I156" s="96"/>
      <c r="J156" s="96"/>
      <c r="K156" s="96"/>
      <c r="L156" s="96"/>
      <c r="M156" s="76"/>
      <c r="N156" s="96"/>
      <c r="O156" s="96"/>
      <c r="P156" s="96"/>
      <c r="Q156" s="96"/>
      <c r="R156" s="76"/>
      <c r="S156" s="96"/>
      <c r="T156" s="96"/>
      <c r="U156" s="96"/>
      <c r="V156" s="96"/>
      <c r="W156" s="76"/>
      <c r="X156" s="96"/>
      <c r="Y156" s="96"/>
      <c r="Z156" s="96"/>
      <c r="AA156" s="96"/>
      <c r="AB156" s="76"/>
      <c r="AC156" s="96"/>
      <c r="AD156" s="96"/>
      <c r="AE156" s="96"/>
      <c r="AF156" s="96"/>
      <c r="AG156" s="76"/>
      <c r="AH156" s="96"/>
      <c r="AI156" s="96"/>
      <c r="AJ156" s="96"/>
      <c r="AK156" s="96"/>
      <c r="AL156" s="76"/>
      <c r="AM156" s="96"/>
      <c r="AN156" s="96"/>
      <c r="AO156" s="96"/>
      <c r="AP156" s="96"/>
      <c r="AQ156" s="76"/>
      <c r="AR156" s="96"/>
      <c r="AS156" s="96"/>
      <c r="AT156" s="96"/>
      <c r="AU156" s="96"/>
      <c r="AV156" s="76"/>
    </row>
    <row r="157" spans="2:48" outlineLevel="1" x14ac:dyDescent="0.3">
      <c r="B157" s="441" t="s">
        <v>132</v>
      </c>
      <c r="C157" s="442"/>
      <c r="D157" s="145">
        <f>71.968334*55.58</f>
        <v>4000.0000037199998</v>
      </c>
      <c r="E157" s="146">
        <v>318.64700000000005</v>
      </c>
      <c r="F157" s="139"/>
      <c r="G157" s="139"/>
      <c r="H157" s="49"/>
      <c r="I157" s="139"/>
      <c r="J157" s="139"/>
      <c r="K157" s="139"/>
      <c r="L157" s="139"/>
      <c r="M157" s="49"/>
      <c r="N157" s="139"/>
      <c r="O157" s="139"/>
      <c r="P157" s="139"/>
      <c r="Q157" s="139"/>
      <c r="R157" s="49"/>
      <c r="S157" s="139"/>
      <c r="T157" s="139"/>
      <c r="U157" s="142"/>
      <c r="V157" s="139"/>
      <c r="W157" s="137"/>
      <c r="X157" s="139"/>
      <c r="Y157" s="139"/>
      <c r="Z157" s="139"/>
      <c r="AA157" s="139"/>
      <c r="AB157" s="49"/>
      <c r="AC157" s="139"/>
      <c r="AD157" s="139"/>
      <c r="AE157" s="139"/>
      <c r="AF157" s="139"/>
      <c r="AG157" s="49"/>
      <c r="AH157" s="139"/>
      <c r="AI157" s="139"/>
      <c r="AJ157" s="139"/>
      <c r="AK157" s="139"/>
      <c r="AL157" s="49"/>
      <c r="AM157" s="139"/>
      <c r="AN157" s="139"/>
      <c r="AO157" s="139"/>
      <c r="AP157" s="139"/>
      <c r="AQ157" s="49"/>
      <c r="AR157" s="139"/>
      <c r="AS157" s="139"/>
      <c r="AT157" s="139"/>
      <c r="AU157" s="139"/>
      <c r="AV157" s="49"/>
    </row>
    <row r="158" spans="2:48" outlineLevel="1" x14ac:dyDescent="0.3">
      <c r="B158" s="437" t="s">
        <v>133</v>
      </c>
      <c r="C158" s="438"/>
      <c r="D158" s="147">
        <f>IF((D157)&gt;0,(D157/D156),0)</f>
        <v>71.968333999999999</v>
      </c>
      <c r="E158" s="140">
        <f>IF((E157)&gt;0,(E157/E156),0)</f>
        <v>4.9000000000000004</v>
      </c>
      <c r="F158" s="140"/>
      <c r="G158" s="140"/>
      <c r="H158" s="141"/>
      <c r="I158" s="140"/>
      <c r="J158" s="140"/>
      <c r="K158" s="140"/>
      <c r="L158" s="140"/>
      <c r="M158" s="141"/>
      <c r="N158" s="140"/>
      <c r="O158" s="140"/>
      <c r="P158" s="140"/>
      <c r="Q158" s="140"/>
      <c r="R158" s="141"/>
      <c r="S158" s="140"/>
      <c r="T158" s="140"/>
      <c r="U158" s="140"/>
      <c r="V158" s="140"/>
      <c r="W158" s="199"/>
      <c r="X158" s="140"/>
      <c r="Y158" s="140"/>
      <c r="Z158" s="140"/>
      <c r="AA158" s="140"/>
      <c r="AB158" s="141"/>
      <c r="AC158" s="140"/>
      <c r="AD158" s="140"/>
      <c r="AE158" s="140"/>
      <c r="AF158" s="140"/>
      <c r="AG158" s="141"/>
      <c r="AH158" s="140"/>
      <c r="AI158" s="140"/>
      <c r="AJ158" s="140"/>
      <c r="AK158" s="140"/>
      <c r="AL158" s="141"/>
      <c r="AM158" s="140"/>
      <c r="AN158" s="140"/>
      <c r="AO158" s="140"/>
      <c r="AP158" s="140"/>
      <c r="AQ158" s="141"/>
      <c r="AR158" s="140"/>
      <c r="AS158" s="140"/>
      <c r="AT158" s="140"/>
      <c r="AU158" s="140"/>
      <c r="AV158" s="141"/>
    </row>
    <row r="159" spans="2:48" outlineLevel="1" x14ac:dyDescent="0.3">
      <c r="B159" s="200" t="s">
        <v>134</v>
      </c>
      <c r="C159" s="201"/>
      <c r="D159" s="139"/>
      <c r="E159" s="36">
        <v>71.959999999999994</v>
      </c>
      <c r="F159" s="36">
        <v>76.5</v>
      </c>
      <c r="G159" s="139"/>
      <c r="H159" s="49"/>
      <c r="I159" s="139"/>
      <c r="J159" s="139"/>
      <c r="K159" s="139"/>
      <c r="L159" s="139"/>
      <c r="M159" s="49"/>
      <c r="N159" s="139"/>
      <c r="O159" s="139"/>
      <c r="P159" s="139"/>
      <c r="Q159" s="139"/>
      <c r="R159" s="49"/>
      <c r="S159" s="139"/>
      <c r="T159" s="139"/>
      <c r="U159" s="139"/>
      <c r="V159" s="139"/>
      <c r="W159" s="49"/>
      <c r="X159" s="139"/>
      <c r="Y159" s="139"/>
      <c r="Z159" s="139"/>
      <c r="AA159" s="139"/>
      <c r="AB159" s="49"/>
      <c r="AC159" s="139"/>
      <c r="AD159" s="139"/>
      <c r="AE159" s="139"/>
      <c r="AF159" s="139"/>
      <c r="AG159" s="49"/>
      <c r="AH159" s="139"/>
      <c r="AI159" s="139"/>
      <c r="AJ159" s="139"/>
      <c r="AK159" s="139"/>
      <c r="AL159" s="49"/>
      <c r="AM159" s="139"/>
      <c r="AN159" s="139"/>
      <c r="AO159" s="139"/>
      <c r="AP159" s="139"/>
      <c r="AQ159" s="49"/>
      <c r="AR159" s="139"/>
      <c r="AS159" s="139"/>
      <c r="AT159" s="139"/>
      <c r="AU159" s="139"/>
      <c r="AV159" s="49"/>
    </row>
    <row r="160" spans="2:48" outlineLevel="1" x14ac:dyDescent="0.3">
      <c r="B160" s="200" t="s">
        <v>135</v>
      </c>
      <c r="C160" s="201"/>
      <c r="D160" s="139"/>
      <c r="E160" s="16">
        <v>1597.5119999999997</v>
      </c>
      <c r="F160" s="16">
        <v>298.35000000000002</v>
      </c>
      <c r="G160" s="139"/>
      <c r="H160" s="49"/>
      <c r="I160" s="139"/>
      <c r="J160" s="139"/>
      <c r="K160" s="139"/>
      <c r="L160" s="139"/>
      <c r="M160" s="49"/>
      <c r="N160" s="179"/>
      <c r="O160" s="139"/>
      <c r="P160" s="139"/>
      <c r="Q160" s="139"/>
      <c r="R160" s="49"/>
      <c r="S160" s="139"/>
      <c r="T160" s="139"/>
      <c r="U160" s="139"/>
      <c r="V160" s="139"/>
      <c r="W160" s="49"/>
      <c r="X160" s="139"/>
      <c r="Y160" s="139"/>
      <c r="Z160" s="139"/>
      <c r="AA160" s="139"/>
      <c r="AB160" s="49"/>
      <c r="AC160" s="139"/>
      <c r="AD160" s="139"/>
      <c r="AE160" s="139"/>
      <c r="AF160" s="139"/>
      <c r="AG160" s="49"/>
      <c r="AH160" s="139"/>
      <c r="AI160" s="139"/>
      <c r="AJ160" s="139"/>
      <c r="AK160" s="139"/>
      <c r="AL160" s="49"/>
      <c r="AM160" s="139"/>
      <c r="AN160" s="139"/>
      <c r="AO160" s="139"/>
      <c r="AP160" s="139"/>
      <c r="AQ160" s="49"/>
      <c r="AR160" s="139"/>
      <c r="AS160" s="139"/>
      <c r="AT160" s="139"/>
      <c r="AU160" s="139"/>
      <c r="AV160" s="49"/>
    </row>
    <row r="161" spans="2:48" outlineLevel="1" x14ac:dyDescent="0.3">
      <c r="B161" s="200" t="s">
        <v>136</v>
      </c>
      <c r="C161" s="201"/>
      <c r="D161" s="139"/>
      <c r="E161" s="139">
        <f>IF((E160)&gt;0,(E160/E159),0)</f>
        <v>22.2</v>
      </c>
      <c r="F161" s="139">
        <f>IF((F160)&gt;0,(F160/F159),0)</f>
        <v>3.9000000000000004</v>
      </c>
      <c r="G161" s="139"/>
      <c r="H161" s="49"/>
      <c r="I161" s="139"/>
      <c r="J161" s="139"/>
      <c r="K161" s="139"/>
      <c r="L161" s="139"/>
      <c r="M161" s="49"/>
      <c r="N161" s="139"/>
      <c r="O161" s="139"/>
      <c r="P161" s="139"/>
      <c r="Q161" s="139"/>
      <c r="R161" s="49"/>
      <c r="S161" s="139"/>
      <c r="T161" s="139"/>
      <c r="U161" s="139"/>
      <c r="V161" s="139"/>
      <c r="W161" s="49"/>
      <c r="X161" s="139"/>
      <c r="Y161" s="139"/>
      <c r="Z161" s="139"/>
      <c r="AA161" s="139"/>
      <c r="AB161" s="49"/>
      <c r="AC161" s="139"/>
      <c r="AD161" s="139"/>
      <c r="AE161" s="139"/>
      <c r="AF161" s="139"/>
      <c r="AG161" s="49"/>
      <c r="AH161" s="139"/>
      <c r="AI161" s="139"/>
      <c r="AJ161" s="139"/>
      <c r="AK161" s="139"/>
      <c r="AL161" s="49"/>
      <c r="AM161" s="139"/>
      <c r="AN161" s="139"/>
      <c r="AO161" s="139"/>
      <c r="AP161" s="139"/>
      <c r="AQ161" s="49"/>
      <c r="AR161" s="139"/>
      <c r="AS161" s="139"/>
      <c r="AT161" s="139"/>
      <c r="AU161" s="139"/>
      <c r="AV161" s="49"/>
    </row>
    <row r="162" spans="2:48" ht="17.399999999999999" x14ac:dyDescent="0.45">
      <c r="B162" s="433" t="s">
        <v>12</v>
      </c>
      <c r="C162" s="434"/>
      <c r="D162" s="14" t="s">
        <v>19</v>
      </c>
      <c r="E162" s="14" t="s">
        <v>81</v>
      </c>
      <c r="F162" s="14" t="s">
        <v>85</v>
      </c>
      <c r="G162" s="14" t="s">
        <v>95</v>
      </c>
      <c r="H162" s="40" t="s">
        <v>96</v>
      </c>
      <c r="I162" s="14" t="s">
        <v>97</v>
      </c>
      <c r="J162" s="14" t="s">
        <v>98</v>
      </c>
      <c r="K162" s="14" t="s">
        <v>99</v>
      </c>
      <c r="L162" s="14" t="s">
        <v>142</v>
      </c>
      <c r="M162" s="40" t="s">
        <v>143</v>
      </c>
      <c r="N162" s="14" t="s">
        <v>149</v>
      </c>
      <c r="O162" s="14" t="s">
        <v>157</v>
      </c>
      <c r="P162" s="14" t="s">
        <v>159</v>
      </c>
      <c r="Q162" s="14" t="s">
        <v>172</v>
      </c>
      <c r="R162" s="40" t="s">
        <v>173</v>
      </c>
      <c r="S162" s="14" t="s">
        <v>188</v>
      </c>
      <c r="T162" s="14" t="s">
        <v>189</v>
      </c>
      <c r="U162" s="14" t="s">
        <v>204</v>
      </c>
      <c r="V162" s="12" t="s">
        <v>25</v>
      </c>
      <c r="W162" s="42" t="s">
        <v>26</v>
      </c>
      <c r="X162" s="12" t="s">
        <v>27</v>
      </c>
      <c r="Y162" s="12" t="s">
        <v>28</v>
      </c>
      <c r="Z162" s="12" t="s">
        <v>29</v>
      </c>
      <c r="AA162" s="12" t="s">
        <v>30</v>
      </c>
      <c r="AB162" s="42" t="s">
        <v>31</v>
      </c>
      <c r="AC162" s="12" t="s">
        <v>90</v>
      </c>
      <c r="AD162" s="12" t="s">
        <v>91</v>
      </c>
      <c r="AE162" s="12" t="s">
        <v>92</v>
      </c>
      <c r="AF162" s="12" t="s">
        <v>93</v>
      </c>
      <c r="AG162" s="42" t="s">
        <v>94</v>
      </c>
      <c r="AH162" s="12" t="s">
        <v>109</v>
      </c>
      <c r="AI162" s="12" t="s">
        <v>110</v>
      </c>
      <c r="AJ162" s="12" t="s">
        <v>111</v>
      </c>
      <c r="AK162" s="12" t="s">
        <v>112</v>
      </c>
      <c r="AL162" s="42" t="s">
        <v>113</v>
      </c>
      <c r="AM162" s="12" t="s">
        <v>164</v>
      </c>
      <c r="AN162" s="12" t="s">
        <v>165</v>
      </c>
      <c r="AO162" s="12" t="s">
        <v>166</v>
      </c>
      <c r="AP162" s="12" t="s">
        <v>167</v>
      </c>
      <c r="AQ162" s="42" t="s">
        <v>168</v>
      </c>
      <c r="AR162" s="12" t="s">
        <v>195</v>
      </c>
      <c r="AS162" s="12" t="s">
        <v>196</v>
      </c>
      <c r="AT162" s="12" t="s">
        <v>197</v>
      </c>
      <c r="AU162" s="12" t="s">
        <v>198</v>
      </c>
      <c r="AV162" s="42" t="s">
        <v>199</v>
      </c>
    </row>
    <row r="163" spans="2:48" outlineLevel="1" x14ac:dyDescent="0.3">
      <c r="B163" s="435" t="s">
        <v>65</v>
      </c>
      <c r="C163" s="436"/>
      <c r="D163" s="102">
        <f>-(22+5.3+0.6+20.9)</f>
        <v>-48.8</v>
      </c>
      <c r="E163" s="102">
        <v>-45.1</v>
      </c>
      <c r="F163" s="102">
        <v>-39.6</v>
      </c>
      <c r="G163" s="102">
        <f>-146.2+133.5</f>
        <v>-12.699999999999989</v>
      </c>
      <c r="H163" s="159">
        <f>SUM(D163:G163)</f>
        <v>-146.19999999999999</v>
      </c>
      <c r="I163" s="102">
        <v>-7.1</v>
      </c>
      <c r="J163" s="102">
        <v>0.1</v>
      </c>
      <c r="K163" s="105">
        <f>-K14</f>
        <v>-78.099999999999994</v>
      </c>
      <c r="L163" s="101">
        <v>-195.5</v>
      </c>
      <c r="M163" s="169"/>
      <c r="N163" s="101">
        <v>-72.2</v>
      </c>
      <c r="O163" s="101">
        <v>-23</v>
      </c>
      <c r="P163" s="101">
        <v>-19.8</v>
      </c>
      <c r="Q163" s="101">
        <v>-55.5</v>
      </c>
      <c r="R163" s="17"/>
      <c r="S163" s="16">
        <v>7.5</v>
      </c>
      <c r="T163" s="16">
        <v>-4.4000000000000004</v>
      </c>
      <c r="U163" s="16">
        <v>-14</v>
      </c>
      <c r="V163" s="33">
        <v>-50</v>
      </c>
      <c r="W163" s="17"/>
      <c r="X163" s="33">
        <v>-50</v>
      </c>
      <c r="Y163" s="33">
        <v>0</v>
      </c>
      <c r="Z163" s="33">
        <f t="shared" ref="Z163:AA163" si="469">Y163</f>
        <v>0</v>
      </c>
      <c r="AA163" s="33">
        <f t="shared" si="469"/>
        <v>0</v>
      </c>
      <c r="AB163" s="17"/>
      <c r="AC163" s="33">
        <f>AA163</f>
        <v>0</v>
      </c>
      <c r="AD163" s="33">
        <f t="shared" ref="AD163:AF163" si="470">AC163</f>
        <v>0</v>
      </c>
      <c r="AE163" s="33">
        <f t="shared" si="470"/>
        <v>0</v>
      </c>
      <c r="AF163" s="33">
        <f t="shared" si="470"/>
        <v>0</v>
      </c>
      <c r="AG163" s="17"/>
      <c r="AH163" s="33">
        <f>AF163</f>
        <v>0</v>
      </c>
      <c r="AI163" s="33">
        <f t="shared" ref="AI163:AK163" si="471">AH163</f>
        <v>0</v>
      </c>
      <c r="AJ163" s="33">
        <f t="shared" si="471"/>
        <v>0</v>
      </c>
      <c r="AK163" s="33">
        <f t="shared" si="471"/>
        <v>0</v>
      </c>
      <c r="AL163" s="17"/>
      <c r="AM163" s="33">
        <f>AK163</f>
        <v>0</v>
      </c>
      <c r="AN163" s="33">
        <f t="shared" ref="AN163:AP163" si="472">AM163</f>
        <v>0</v>
      </c>
      <c r="AO163" s="33">
        <f t="shared" si="472"/>
        <v>0</v>
      </c>
      <c r="AP163" s="33">
        <f t="shared" si="472"/>
        <v>0</v>
      </c>
      <c r="AQ163" s="17"/>
      <c r="AR163" s="33">
        <f>AP163</f>
        <v>0</v>
      </c>
      <c r="AS163" s="33">
        <f t="shared" ref="AS163:AU163" si="473">AR163</f>
        <v>0</v>
      </c>
      <c r="AT163" s="33">
        <f t="shared" si="473"/>
        <v>0</v>
      </c>
      <c r="AU163" s="33">
        <f t="shared" si="473"/>
        <v>0</v>
      </c>
      <c r="AV163" s="17"/>
    </row>
    <row r="164" spans="2:48" outlineLevel="1" x14ac:dyDescent="0.3">
      <c r="B164" s="200" t="s">
        <v>64</v>
      </c>
      <c r="C164" s="201"/>
      <c r="D164" s="102">
        <f>-(5.3+0.5)</f>
        <v>-5.8</v>
      </c>
      <c r="E164" s="102">
        <v>-4.3</v>
      </c>
      <c r="F164" s="102">
        <v>-2.2999999999999998</v>
      </c>
      <c r="G164" s="102">
        <v>-0.2</v>
      </c>
      <c r="H164" s="159">
        <f t="shared" ref="H164:H167" si="474">SUM(D164:G164)</f>
        <v>-12.599999999999998</v>
      </c>
      <c r="I164" s="102">
        <v>-5.6</v>
      </c>
      <c r="J164" s="102">
        <v>-6.8</v>
      </c>
      <c r="K164" s="105">
        <v>-35.04</v>
      </c>
      <c r="L164" s="101">
        <v>0</v>
      </c>
      <c r="M164" s="169"/>
      <c r="N164" s="101">
        <v>0</v>
      </c>
      <c r="O164" s="101">
        <v>0</v>
      </c>
      <c r="P164" s="101">
        <v>22.8</v>
      </c>
      <c r="Q164" s="101">
        <v>-0.1</v>
      </c>
      <c r="R164" s="17"/>
      <c r="S164" s="16"/>
      <c r="T164" s="16"/>
      <c r="U164" s="16"/>
      <c r="V164" s="33"/>
      <c r="W164" s="17"/>
      <c r="X164" s="33">
        <f t="shared" ref="X164:X167" si="475">V164</f>
        <v>0</v>
      </c>
      <c r="Y164" s="33"/>
      <c r="Z164" s="33"/>
      <c r="AA164" s="33"/>
      <c r="AB164" s="17"/>
      <c r="AC164" s="33">
        <f t="shared" ref="AC164:AC167" si="476">AA164</f>
        <v>0</v>
      </c>
      <c r="AD164" s="33"/>
      <c r="AE164" s="33"/>
      <c r="AF164" s="33"/>
      <c r="AG164" s="17"/>
      <c r="AH164" s="33">
        <f t="shared" ref="AH164:AH167" si="477">AF164</f>
        <v>0</v>
      </c>
      <c r="AI164" s="33"/>
      <c r="AJ164" s="33"/>
      <c r="AK164" s="33"/>
      <c r="AL164" s="17"/>
      <c r="AM164" s="33">
        <f t="shared" ref="AM164:AM167" si="478">AK164</f>
        <v>0</v>
      </c>
      <c r="AN164" s="33"/>
      <c r="AO164" s="33"/>
      <c r="AP164" s="33"/>
      <c r="AQ164" s="17"/>
      <c r="AR164" s="33">
        <f t="shared" ref="AR164:AR167" si="479">AP164</f>
        <v>0</v>
      </c>
      <c r="AS164" s="33"/>
      <c r="AT164" s="33"/>
      <c r="AU164" s="33"/>
      <c r="AV164" s="17"/>
    </row>
    <row r="165" spans="2:48" outlineLevel="1" x14ac:dyDescent="0.3">
      <c r="B165" s="435" t="s">
        <v>129</v>
      </c>
      <c r="C165" s="436"/>
      <c r="D165" s="102">
        <f>-(60.6-0.3)</f>
        <v>-60.300000000000004</v>
      </c>
      <c r="E165" s="102">
        <v>-68.2</v>
      </c>
      <c r="F165" s="102">
        <v>-69</v>
      </c>
      <c r="G165" s="102">
        <f>-262+197.5</f>
        <v>-64.5</v>
      </c>
      <c r="H165" s="159">
        <f>SUM(D165:G165)</f>
        <v>-262</v>
      </c>
      <c r="I165" s="102">
        <v>-58.9</v>
      </c>
      <c r="J165" s="102">
        <v>-60.1</v>
      </c>
      <c r="K165" s="105">
        <v>-60.54</v>
      </c>
      <c r="L165" s="101">
        <v>-64</v>
      </c>
      <c r="M165" s="169"/>
      <c r="N165" s="101">
        <v>-62.7</v>
      </c>
      <c r="O165" s="101">
        <v>-65.2</v>
      </c>
      <c r="P165" s="101">
        <v>-54.7</v>
      </c>
      <c r="Q165" s="101">
        <v>-59.6</v>
      </c>
      <c r="R165" s="17"/>
      <c r="S165" s="16">
        <f>0.1-42.8</f>
        <v>-42.699999999999996</v>
      </c>
      <c r="T165" s="16">
        <v>-43.1</v>
      </c>
      <c r="U165" s="16">
        <v>-63.5</v>
      </c>
      <c r="V165" s="33">
        <v>-64</v>
      </c>
      <c r="W165" s="17"/>
      <c r="X165" s="33">
        <f t="shared" si="475"/>
        <v>-64</v>
      </c>
      <c r="Y165" s="33">
        <f t="shared" ref="Y165:AA165" si="480">X165</f>
        <v>-64</v>
      </c>
      <c r="Z165" s="33">
        <f t="shared" si="480"/>
        <v>-64</v>
      </c>
      <c r="AA165" s="33">
        <f t="shared" si="480"/>
        <v>-64</v>
      </c>
      <c r="AB165" s="17"/>
      <c r="AC165" s="33">
        <f t="shared" si="476"/>
        <v>-64</v>
      </c>
      <c r="AD165" s="33">
        <f t="shared" ref="AD165:AF165" si="481">AC165</f>
        <v>-64</v>
      </c>
      <c r="AE165" s="33">
        <f t="shared" si="481"/>
        <v>-64</v>
      </c>
      <c r="AF165" s="33">
        <f t="shared" si="481"/>
        <v>-64</v>
      </c>
      <c r="AG165" s="17"/>
      <c r="AH165" s="33">
        <f t="shared" si="477"/>
        <v>-64</v>
      </c>
      <c r="AI165" s="33">
        <f t="shared" ref="AI165:AK165" si="482">AH165</f>
        <v>-64</v>
      </c>
      <c r="AJ165" s="33">
        <f t="shared" si="482"/>
        <v>-64</v>
      </c>
      <c r="AK165" s="33">
        <f t="shared" si="482"/>
        <v>-64</v>
      </c>
      <c r="AL165" s="17"/>
      <c r="AM165" s="33">
        <f t="shared" si="478"/>
        <v>-64</v>
      </c>
      <c r="AN165" s="33">
        <f t="shared" ref="AN165:AP165" si="483">AM165</f>
        <v>-64</v>
      </c>
      <c r="AO165" s="33">
        <f t="shared" si="483"/>
        <v>-64</v>
      </c>
      <c r="AP165" s="33">
        <f t="shared" si="483"/>
        <v>-64</v>
      </c>
      <c r="AQ165" s="17"/>
      <c r="AR165" s="33">
        <f t="shared" si="479"/>
        <v>-64</v>
      </c>
      <c r="AS165" s="33">
        <f t="shared" ref="AS165:AU165" si="484">AR165</f>
        <v>-64</v>
      </c>
      <c r="AT165" s="33">
        <f t="shared" si="484"/>
        <v>-64</v>
      </c>
      <c r="AU165" s="33">
        <f t="shared" si="484"/>
        <v>-64</v>
      </c>
      <c r="AV165" s="17"/>
    </row>
    <row r="166" spans="2:48" outlineLevel="1" x14ac:dyDescent="0.3">
      <c r="B166" s="200" t="s">
        <v>66</v>
      </c>
      <c r="C166" s="201"/>
      <c r="D166" s="102">
        <v>-23.1</v>
      </c>
      <c r="E166" s="102">
        <v>-23.8</v>
      </c>
      <c r="F166" s="102">
        <v>-14.4</v>
      </c>
      <c r="G166" s="102">
        <v>0</v>
      </c>
      <c r="H166" s="159">
        <f t="shared" si="474"/>
        <v>-61.300000000000004</v>
      </c>
      <c r="I166" s="102"/>
      <c r="J166" s="102"/>
      <c r="K166" s="101"/>
      <c r="L166" s="101"/>
      <c r="M166" s="169"/>
      <c r="N166" s="101"/>
      <c r="O166" s="101"/>
      <c r="P166" s="101"/>
      <c r="Q166" s="101"/>
      <c r="R166" s="17"/>
      <c r="S166" s="16"/>
      <c r="T166" s="16"/>
      <c r="U166" s="16"/>
      <c r="V166" s="33"/>
      <c r="W166" s="17"/>
      <c r="X166" s="33">
        <f t="shared" si="475"/>
        <v>0</v>
      </c>
      <c r="Y166" s="33"/>
      <c r="Z166" s="33"/>
      <c r="AA166" s="33"/>
      <c r="AB166" s="17"/>
      <c r="AC166" s="33">
        <f t="shared" si="476"/>
        <v>0</v>
      </c>
      <c r="AD166" s="33"/>
      <c r="AE166" s="33"/>
      <c r="AF166" s="33"/>
      <c r="AG166" s="17"/>
      <c r="AH166" s="33">
        <f t="shared" si="477"/>
        <v>0</v>
      </c>
      <c r="AI166" s="33"/>
      <c r="AJ166" s="33"/>
      <c r="AK166" s="33"/>
      <c r="AL166" s="17"/>
      <c r="AM166" s="33">
        <f t="shared" si="478"/>
        <v>0</v>
      </c>
      <c r="AN166" s="33"/>
      <c r="AO166" s="33"/>
      <c r="AP166" s="33"/>
      <c r="AQ166" s="17"/>
      <c r="AR166" s="33">
        <f t="shared" si="479"/>
        <v>0</v>
      </c>
      <c r="AS166" s="33"/>
      <c r="AT166" s="33"/>
      <c r="AU166" s="33"/>
      <c r="AV166" s="17"/>
    </row>
    <row r="167" spans="2:48" ht="16.2" outlineLevel="1" x14ac:dyDescent="0.45">
      <c r="B167" s="200" t="s">
        <v>80</v>
      </c>
      <c r="C167" s="201"/>
      <c r="D167" s="138">
        <v>0</v>
      </c>
      <c r="E167" s="138">
        <v>0</v>
      </c>
      <c r="F167" s="138">
        <v>0</v>
      </c>
      <c r="G167" s="138">
        <v>0</v>
      </c>
      <c r="H167" s="160">
        <f t="shared" si="474"/>
        <v>0</v>
      </c>
      <c r="I167" s="138">
        <v>0</v>
      </c>
      <c r="J167" s="138">
        <v>0</v>
      </c>
      <c r="K167" s="112">
        <v>0</v>
      </c>
      <c r="L167" s="112">
        <v>0</v>
      </c>
      <c r="M167" s="169"/>
      <c r="N167" s="112">
        <v>0</v>
      </c>
      <c r="O167" s="112">
        <v>0</v>
      </c>
      <c r="P167" s="112">
        <v>0</v>
      </c>
      <c r="Q167" s="112">
        <v>0</v>
      </c>
      <c r="R167" s="17"/>
      <c r="S167" s="112">
        <v>0</v>
      </c>
      <c r="T167" s="112">
        <v>0</v>
      </c>
      <c r="U167" s="112">
        <v>0</v>
      </c>
      <c r="V167" s="32">
        <v>0</v>
      </c>
      <c r="W167" s="17"/>
      <c r="X167" s="32">
        <f t="shared" si="475"/>
        <v>0</v>
      </c>
      <c r="Y167" s="32">
        <v>0</v>
      </c>
      <c r="Z167" s="32">
        <v>0</v>
      </c>
      <c r="AA167" s="32">
        <v>0</v>
      </c>
      <c r="AB167" s="17"/>
      <c r="AC167" s="32">
        <f t="shared" si="476"/>
        <v>0</v>
      </c>
      <c r="AD167" s="32">
        <v>0</v>
      </c>
      <c r="AE167" s="32">
        <v>0</v>
      </c>
      <c r="AF167" s="32">
        <v>0</v>
      </c>
      <c r="AG167" s="17"/>
      <c r="AH167" s="32">
        <f t="shared" si="477"/>
        <v>0</v>
      </c>
      <c r="AI167" s="32">
        <v>0</v>
      </c>
      <c r="AJ167" s="32">
        <v>0</v>
      </c>
      <c r="AK167" s="32">
        <v>0</v>
      </c>
      <c r="AL167" s="17"/>
      <c r="AM167" s="32">
        <f t="shared" si="478"/>
        <v>0</v>
      </c>
      <c r="AN167" s="32">
        <v>0</v>
      </c>
      <c r="AO167" s="32">
        <v>0</v>
      </c>
      <c r="AP167" s="32">
        <v>0</v>
      </c>
      <c r="AQ167" s="17"/>
      <c r="AR167" s="32">
        <f t="shared" si="479"/>
        <v>0</v>
      </c>
      <c r="AS167" s="32">
        <v>0</v>
      </c>
      <c r="AT167" s="32">
        <v>0</v>
      </c>
      <c r="AU167" s="32">
        <v>0</v>
      </c>
      <c r="AV167" s="17"/>
    </row>
    <row r="168" spans="2:48" s="8" customFormat="1" outlineLevel="1" x14ac:dyDescent="0.3">
      <c r="B168" s="205" t="s">
        <v>67</v>
      </c>
      <c r="C168" s="202"/>
      <c r="D168" s="103">
        <f t="shared" ref="D168:L168" si="485">SUM(D163:D167)</f>
        <v>-138</v>
      </c>
      <c r="E168" s="103">
        <f t="shared" si="485"/>
        <v>-141.4</v>
      </c>
      <c r="F168" s="103">
        <f t="shared" si="485"/>
        <v>-125.30000000000001</v>
      </c>
      <c r="G168" s="103">
        <f t="shared" si="485"/>
        <v>-77.399999999999991</v>
      </c>
      <c r="H168" s="171">
        <f t="shared" si="485"/>
        <v>-482.09999999999997</v>
      </c>
      <c r="I168" s="103">
        <f t="shared" si="485"/>
        <v>-71.599999999999994</v>
      </c>
      <c r="J168" s="103">
        <f t="shared" si="485"/>
        <v>-66.8</v>
      </c>
      <c r="K168" s="103">
        <f t="shared" si="485"/>
        <v>-173.67999999999998</v>
      </c>
      <c r="L168" s="103">
        <f t="shared" si="485"/>
        <v>-259.5</v>
      </c>
      <c r="M168" s="150"/>
      <c r="N168" s="103">
        <f>SUM(N163:N167)</f>
        <v>-134.9</v>
      </c>
      <c r="O168" s="103">
        <f>SUM(O163:O167)</f>
        <v>-88.2</v>
      </c>
      <c r="P168" s="103">
        <f>SUM(P163:P167)</f>
        <v>-51.7</v>
      </c>
      <c r="Q168" s="103">
        <f>SUM(Q163:Q167)</f>
        <v>-115.2</v>
      </c>
      <c r="R168" s="22"/>
      <c r="S168" s="103">
        <f>SUM(S163:S167)</f>
        <v>-35.199999999999996</v>
      </c>
      <c r="T168" s="50">
        <f>SUM(T163:T167)</f>
        <v>-47.5</v>
      </c>
      <c r="U168" s="50">
        <f>SUM(U163:U167)</f>
        <v>-77.5</v>
      </c>
      <c r="V168" s="50">
        <f>SUM(V163:V167)</f>
        <v>-114</v>
      </c>
      <c r="W168" s="22"/>
      <c r="X168" s="50">
        <f>SUM(X163:X167)</f>
        <v>-114</v>
      </c>
      <c r="Y168" s="50">
        <f>SUM(Y163:Y167)</f>
        <v>-64</v>
      </c>
      <c r="Z168" s="50">
        <f>SUM(Z163:Z167)</f>
        <v>-64</v>
      </c>
      <c r="AA168" s="50">
        <f>SUM(AA163:AA167)</f>
        <v>-64</v>
      </c>
      <c r="AB168" s="22"/>
      <c r="AC168" s="50">
        <f>SUM(AC163:AC167)</f>
        <v>-64</v>
      </c>
      <c r="AD168" s="50">
        <f>SUM(AD163:AD167)</f>
        <v>-64</v>
      </c>
      <c r="AE168" s="50">
        <f>SUM(AE163:AE167)</f>
        <v>-64</v>
      </c>
      <c r="AF168" s="50">
        <f>SUM(AF163:AF167)</f>
        <v>-64</v>
      </c>
      <c r="AG168" s="22"/>
      <c r="AH168" s="50">
        <f>SUM(AH163:AH167)</f>
        <v>-64</v>
      </c>
      <c r="AI168" s="50">
        <f>SUM(AI163:AI167)</f>
        <v>-64</v>
      </c>
      <c r="AJ168" s="50">
        <f>SUM(AJ163:AJ167)</f>
        <v>-64</v>
      </c>
      <c r="AK168" s="50">
        <f>SUM(AK163:AK167)</f>
        <v>-64</v>
      </c>
      <c r="AL168" s="22"/>
      <c r="AM168" s="50">
        <f>SUM(AM163:AM167)</f>
        <v>-64</v>
      </c>
      <c r="AN168" s="50">
        <f>SUM(AN163:AN167)</f>
        <v>-64</v>
      </c>
      <c r="AO168" s="50">
        <f>SUM(AO163:AO167)</f>
        <v>-64</v>
      </c>
      <c r="AP168" s="50">
        <f>SUM(AP163:AP167)</f>
        <v>-64</v>
      </c>
      <c r="AQ168" s="22"/>
      <c r="AR168" s="50">
        <f>SUM(AR163:AR167)</f>
        <v>-64</v>
      </c>
      <c r="AS168" s="50">
        <f>SUM(AS163:AS167)</f>
        <v>-64</v>
      </c>
      <c r="AT168" s="50">
        <f>SUM(AT163:AT167)</f>
        <v>-64</v>
      </c>
      <c r="AU168" s="50">
        <f>SUM(AU163:AU167)</f>
        <v>-64</v>
      </c>
      <c r="AV168" s="22"/>
    </row>
    <row r="169" spans="2:48" ht="16.2" outlineLevel="1" x14ac:dyDescent="0.45">
      <c r="B169" s="200" t="s">
        <v>155</v>
      </c>
      <c r="C169" s="201"/>
      <c r="D169" s="104">
        <v>0</v>
      </c>
      <c r="E169" s="104">
        <v>0</v>
      </c>
      <c r="F169" s="104">
        <v>0</v>
      </c>
      <c r="G169" s="104">
        <v>0</v>
      </c>
      <c r="H169" s="169"/>
      <c r="I169" s="104">
        <v>0</v>
      </c>
      <c r="J169" s="104">
        <v>0</v>
      </c>
      <c r="K169" s="104">
        <v>0</v>
      </c>
      <c r="L169" s="104">
        <v>0</v>
      </c>
      <c r="M169" s="169"/>
      <c r="N169" s="104">
        <v>0</v>
      </c>
      <c r="O169" s="104">
        <v>0</v>
      </c>
      <c r="P169" s="104">
        <v>0</v>
      </c>
      <c r="Q169" s="104">
        <v>0</v>
      </c>
      <c r="R169" s="17"/>
      <c r="S169" s="104">
        <v>0</v>
      </c>
      <c r="T169" s="52">
        <v>0</v>
      </c>
      <c r="U169" s="52">
        <v>0</v>
      </c>
      <c r="V169" s="52">
        <v>0</v>
      </c>
      <c r="W169" s="17"/>
      <c r="X169" s="52">
        <v>0</v>
      </c>
      <c r="Y169" s="52">
        <v>0</v>
      </c>
      <c r="Z169" s="52">
        <v>0</v>
      </c>
      <c r="AA169" s="52">
        <v>0</v>
      </c>
      <c r="AB169" s="17"/>
      <c r="AC169" s="52">
        <v>0</v>
      </c>
      <c r="AD169" s="52">
        <v>0</v>
      </c>
      <c r="AE169" s="52">
        <v>0</v>
      </c>
      <c r="AF169" s="52">
        <v>0</v>
      </c>
      <c r="AG169" s="17"/>
      <c r="AH169" s="52">
        <v>0</v>
      </c>
      <c r="AI169" s="52">
        <v>0</v>
      </c>
      <c r="AJ169" s="52">
        <v>0</v>
      </c>
      <c r="AK169" s="52">
        <v>0</v>
      </c>
      <c r="AL169" s="17"/>
      <c r="AM169" s="52">
        <v>0</v>
      </c>
      <c r="AN169" s="52">
        <v>0</v>
      </c>
      <c r="AO169" s="52">
        <v>0</v>
      </c>
      <c r="AP169" s="52">
        <v>0</v>
      </c>
      <c r="AQ169" s="17"/>
      <c r="AR169" s="52">
        <v>0</v>
      </c>
      <c r="AS169" s="52">
        <v>0</v>
      </c>
      <c r="AT169" s="52">
        <v>0</v>
      </c>
      <c r="AU169" s="52">
        <v>0</v>
      </c>
      <c r="AV169" s="17"/>
    </row>
    <row r="170" spans="2:48" s="8" customFormat="1" outlineLevel="1" x14ac:dyDescent="0.3">
      <c r="B170" s="205" t="s">
        <v>68</v>
      </c>
      <c r="C170" s="202"/>
      <c r="D170" s="103">
        <f t="shared" ref="D170:G170" si="486">-D168+D169</f>
        <v>138</v>
      </c>
      <c r="E170" s="103">
        <f t="shared" si="486"/>
        <v>141.4</v>
      </c>
      <c r="F170" s="103">
        <f t="shared" si="486"/>
        <v>125.30000000000001</v>
      </c>
      <c r="G170" s="103">
        <f t="shared" si="486"/>
        <v>77.399999999999991</v>
      </c>
      <c r="H170" s="150"/>
      <c r="I170" s="103">
        <f t="shared" ref="I170:L170" si="487">-I168+I169</f>
        <v>71.599999999999994</v>
      </c>
      <c r="J170" s="103">
        <f t="shared" si="487"/>
        <v>66.8</v>
      </c>
      <c r="K170" s="103">
        <f t="shared" si="487"/>
        <v>173.67999999999998</v>
      </c>
      <c r="L170" s="103">
        <f t="shared" si="487"/>
        <v>259.5</v>
      </c>
      <c r="M170" s="150"/>
      <c r="N170" s="103">
        <f t="shared" ref="N170:P170" si="488">-N168+N169</f>
        <v>134.9</v>
      </c>
      <c r="O170" s="103">
        <f t="shared" si="488"/>
        <v>88.2</v>
      </c>
      <c r="P170" s="103">
        <f t="shared" si="488"/>
        <v>51.7</v>
      </c>
      <c r="Q170" s="103">
        <f>-Q168+Q169</f>
        <v>115.2</v>
      </c>
      <c r="R170" s="22"/>
      <c r="S170" s="103">
        <f t="shared" ref="S170:V170" si="489">-S168+S169</f>
        <v>35.199999999999996</v>
      </c>
      <c r="T170" s="50">
        <f t="shared" si="489"/>
        <v>47.5</v>
      </c>
      <c r="U170" s="50">
        <f t="shared" si="489"/>
        <v>77.5</v>
      </c>
      <c r="V170" s="50">
        <f t="shared" si="489"/>
        <v>114</v>
      </c>
      <c r="W170" s="22"/>
      <c r="X170" s="50">
        <f t="shared" ref="X170:AA170" si="490">-X168+X169</f>
        <v>114</v>
      </c>
      <c r="Y170" s="50">
        <f t="shared" si="490"/>
        <v>64</v>
      </c>
      <c r="Z170" s="50">
        <f t="shared" si="490"/>
        <v>64</v>
      </c>
      <c r="AA170" s="50">
        <f t="shared" si="490"/>
        <v>64</v>
      </c>
      <c r="AB170" s="22"/>
      <c r="AC170" s="50">
        <f t="shared" ref="AC170:AF170" si="491">-AC168+AC169</f>
        <v>64</v>
      </c>
      <c r="AD170" s="50">
        <f t="shared" si="491"/>
        <v>64</v>
      </c>
      <c r="AE170" s="50">
        <f t="shared" si="491"/>
        <v>64</v>
      </c>
      <c r="AF170" s="50">
        <f t="shared" si="491"/>
        <v>64</v>
      </c>
      <c r="AG170" s="22"/>
      <c r="AH170" s="50">
        <f t="shared" ref="AH170:AK170" si="492">-AH168+AH169</f>
        <v>64</v>
      </c>
      <c r="AI170" s="50">
        <f t="shared" si="492"/>
        <v>64</v>
      </c>
      <c r="AJ170" s="50">
        <f t="shared" si="492"/>
        <v>64</v>
      </c>
      <c r="AK170" s="50">
        <f t="shared" si="492"/>
        <v>64</v>
      </c>
      <c r="AL170" s="22"/>
      <c r="AM170" s="50">
        <f t="shared" ref="AM170:AP170" si="493">-AM168+AM169</f>
        <v>64</v>
      </c>
      <c r="AN170" s="50">
        <f t="shared" si="493"/>
        <v>64</v>
      </c>
      <c r="AO170" s="50">
        <f t="shared" si="493"/>
        <v>64</v>
      </c>
      <c r="AP170" s="50">
        <f t="shared" si="493"/>
        <v>64</v>
      </c>
      <c r="AQ170" s="22"/>
      <c r="AR170" s="50">
        <f t="shared" ref="AR170:AU170" si="494">-AR168+AR169</f>
        <v>64</v>
      </c>
      <c r="AS170" s="50">
        <f t="shared" si="494"/>
        <v>64</v>
      </c>
      <c r="AT170" s="50">
        <f t="shared" si="494"/>
        <v>64</v>
      </c>
      <c r="AU170" s="50">
        <f t="shared" si="494"/>
        <v>64</v>
      </c>
      <c r="AV170" s="22"/>
    </row>
    <row r="171" spans="2:48" outlineLevel="1" x14ac:dyDescent="0.3">
      <c r="B171" s="200" t="s">
        <v>69</v>
      </c>
      <c r="C171" s="201"/>
      <c r="D171" s="105">
        <v>0</v>
      </c>
      <c r="E171" s="101">
        <f>-0.02*E31</f>
        <v>-25.014000000000003</v>
      </c>
      <c r="F171" s="101">
        <f>0.49*F31</f>
        <v>599.27</v>
      </c>
      <c r="G171" s="101">
        <v>0</v>
      </c>
      <c r="H171" s="169"/>
      <c r="I171" s="101">
        <v>0</v>
      </c>
      <c r="J171" s="101">
        <v>0</v>
      </c>
      <c r="K171" s="101">
        <v>0</v>
      </c>
      <c r="L171" s="101">
        <v>0</v>
      </c>
      <c r="M171" s="169"/>
      <c r="N171" s="101">
        <v>0</v>
      </c>
      <c r="O171" s="101">
        <v>0</v>
      </c>
      <c r="P171" s="101">
        <v>0</v>
      </c>
      <c r="Q171" s="101">
        <f>0.73*Q31</f>
        <v>867.16700000000003</v>
      </c>
      <c r="R171" s="17"/>
      <c r="S171" s="101">
        <v>0</v>
      </c>
      <c r="T171" s="101">
        <f>0.03*T31</f>
        <v>34.617000000000004</v>
      </c>
      <c r="U171" s="101">
        <v>0</v>
      </c>
      <c r="V171" s="33">
        <v>0</v>
      </c>
      <c r="W171" s="17"/>
      <c r="X171" s="33">
        <v>0</v>
      </c>
      <c r="Y171" s="33">
        <v>0</v>
      </c>
      <c r="Z171" s="33">
        <v>0</v>
      </c>
      <c r="AA171" s="33">
        <v>0</v>
      </c>
      <c r="AB171" s="17"/>
      <c r="AC171" s="33">
        <v>0</v>
      </c>
      <c r="AD171" s="33">
        <v>0</v>
      </c>
      <c r="AE171" s="33">
        <v>0</v>
      </c>
      <c r="AF171" s="33">
        <v>0</v>
      </c>
      <c r="AG171" s="17"/>
      <c r="AH171" s="33">
        <v>0</v>
      </c>
      <c r="AI171" s="33">
        <v>0</v>
      </c>
      <c r="AJ171" s="33">
        <v>0</v>
      </c>
      <c r="AK171" s="33">
        <v>0</v>
      </c>
      <c r="AL171" s="17"/>
      <c r="AM171" s="33">
        <v>0</v>
      </c>
      <c r="AN171" s="33">
        <v>0</v>
      </c>
      <c r="AO171" s="33">
        <v>0</v>
      </c>
      <c r="AP171" s="33">
        <v>0</v>
      </c>
      <c r="AQ171" s="17"/>
      <c r="AR171" s="33">
        <v>0</v>
      </c>
      <c r="AS171" s="33">
        <v>0</v>
      </c>
      <c r="AT171" s="33">
        <v>0</v>
      </c>
      <c r="AU171" s="33">
        <v>0</v>
      </c>
      <c r="AV171" s="17"/>
    </row>
    <row r="172" spans="2:48" outlineLevel="1" x14ac:dyDescent="0.3">
      <c r="B172" s="435" t="s">
        <v>75</v>
      </c>
      <c r="C172" s="436"/>
      <c r="D172" s="105">
        <v>-41.449999999998646</v>
      </c>
      <c r="E172" s="101">
        <v>79.193999999999548</v>
      </c>
      <c r="F172" s="101">
        <v>-55.109999999999197</v>
      </c>
      <c r="G172" s="101">
        <v>30</v>
      </c>
      <c r="H172" s="169"/>
      <c r="I172" s="101">
        <v>11</v>
      </c>
      <c r="J172" s="101">
        <v>23</v>
      </c>
      <c r="K172" s="101">
        <f>0.03*K31</f>
        <v>35.055</v>
      </c>
      <c r="L172" s="101">
        <v>50.810000000000372</v>
      </c>
      <c r="M172" s="169"/>
      <c r="N172" s="101">
        <f>0.03*N31</f>
        <v>35.49</v>
      </c>
      <c r="O172" s="101">
        <f>0.01*O31</f>
        <v>11.847999999999999</v>
      </c>
      <c r="P172" s="101">
        <f>0.01*P31</f>
        <v>11.862</v>
      </c>
      <c r="Q172" s="101">
        <f>-0.144*Q31</f>
        <v>-171.05760000000001</v>
      </c>
      <c r="R172" s="17"/>
      <c r="S172" s="101">
        <v>3.9480000000003299</v>
      </c>
      <c r="T172" s="16">
        <f>0.01*T31</f>
        <v>11.539000000000001</v>
      </c>
      <c r="U172" s="16">
        <f>0.02*U31</f>
        <v>23.02</v>
      </c>
      <c r="V172" s="16">
        <f t="shared" ref="V172" si="495">+V170*V173</f>
        <v>33.861677419354834</v>
      </c>
      <c r="W172" s="17"/>
      <c r="X172" s="16">
        <f>+X170*X173</f>
        <v>33.861677419354834</v>
      </c>
      <c r="Y172" s="16">
        <f>+Y170*Y173</f>
        <v>19.010064516129031</v>
      </c>
      <c r="Z172" s="16">
        <f t="shared" ref="Z172:AA172" si="496">+Z170*Z173</f>
        <v>19.010064516129031</v>
      </c>
      <c r="AA172" s="16">
        <f t="shared" si="496"/>
        <v>19.010064516129031</v>
      </c>
      <c r="AB172" s="17"/>
      <c r="AC172" s="16">
        <f>+AC170*AC173</f>
        <v>19.010064516129031</v>
      </c>
      <c r="AD172" s="16">
        <f>+AD170*AD173</f>
        <v>19.010064516129031</v>
      </c>
      <c r="AE172" s="16">
        <f t="shared" ref="AE172:AF172" si="497">+AE170*AE173</f>
        <v>19.010064516129031</v>
      </c>
      <c r="AF172" s="16">
        <f t="shared" si="497"/>
        <v>19.010064516129031</v>
      </c>
      <c r="AG172" s="17"/>
      <c r="AH172" s="16">
        <f>+AH170*AH173</f>
        <v>19.010064516129031</v>
      </c>
      <c r="AI172" s="16">
        <f>+AI170*AI173</f>
        <v>19.010064516129031</v>
      </c>
      <c r="AJ172" s="16">
        <f t="shared" ref="AJ172:AK172" si="498">+AJ170*AJ173</f>
        <v>19.010064516129031</v>
      </c>
      <c r="AK172" s="16">
        <f t="shared" si="498"/>
        <v>19.010064516129031</v>
      </c>
      <c r="AL172" s="17"/>
      <c r="AM172" s="16">
        <f>+AM170*AM173</f>
        <v>19.010064516129031</v>
      </c>
      <c r="AN172" s="16">
        <f>+AN170*AN173</f>
        <v>19.010064516129031</v>
      </c>
      <c r="AO172" s="16">
        <f t="shared" ref="AO172:AP172" si="499">+AO170*AO173</f>
        <v>19.010064516129031</v>
      </c>
      <c r="AP172" s="16">
        <f t="shared" si="499"/>
        <v>19.010064516129031</v>
      </c>
      <c r="AQ172" s="17"/>
      <c r="AR172" s="16">
        <f>+AR170*AR173</f>
        <v>19.010064516129031</v>
      </c>
      <c r="AS172" s="16">
        <f>+AS170*AS173</f>
        <v>19.010064516129031</v>
      </c>
      <c r="AT172" s="16">
        <f t="shared" ref="AT172:AU172" si="500">+AT170*AT173</f>
        <v>19.010064516129031</v>
      </c>
      <c r="AU172" s="16">
        <f t="shared" si="500"/>
        <v>19.010064516129031</v>
      </c>
      <c r="AV172" s="17"/>
    </row>
    <row r="173" spans="2:48" outlineLevel="1" x14ac:dyDescent="0.3">
      <c r="B173" s="203" t="s">
        <v>76</v>
      </c>
      <c r="C173" s="204"/>
      <c r="D173" s="211">
        <f t="shared" ref="D173:G173" si="501">D172/D170</f>
        <v>-0.30036231884056991</v>
      </c>
      <c r="E173" s="211">
        <f t="shared" si="501"/>
        <v>0.56007072135784686</v>
      </c>
      <c r="F173" s="211">
        <f t="shared" si="501"/>
        <v>-0.43982442138866074</v>
      </c>
      <c r="G173" s="211">
        <f t="shared" si="501"/>
        <v>0.38759689922480622</v>
      </c>
      <c r="H173" s="212"/>
      <c r="I173" s="211">
        <f t="shared" ref="I173:U173" si="502">I172/I170</f>
        <v>0.15363128491620112</v>
      </c>
      <c r="J173" s="211">
        <f t="shared" si="502"/>
        <v>0.34431137724550898</v>
      </c>
      <c r="K173" s="211">
        <f t="shared" si="502"/>
        <v>0.20183671119299865</v>
      </c>
      <c r="L173" s="211">
        <f t="shared" si="502"/>
        <v>0.1957996146435467</v>
      </c>
      <c r="M173" s="212"/>
      <c r="N173" s="211">
        <f t="shared" si="502"/>
        <v>0.26308376575240922</v>
      </c>
      <c r="O173" s="211">
        <f t="shared" si="502"/>
        <v>0.13433106575963719</v>
      </c>
      <c r="P173" s="211">
        <f t="shared" si="502"/>
        <v>0.22943907156673113</v>
      </c>
      <c r="Q173" s="211">
        <f t="shared" si="502"/>
        <v>-1.4848749999999999</v>
      </c>
      <c r="R173" s="37"/>
      <c r="S173" s="211">
        <f t="shared" si="502"/>
        <v>0.1121590909091003</v>
      </c>
      <c r="T173" s="211">
        <f t="shared" si="502"/>
        <v>0.24292631578947371</v>
      </c>
      <c r="U173" s="211">
        <f t="shared" si="502"/>
        <v>0.29703225806451611</v>
      </c>
      <c r="V173" s="94">
        <f>U173</f>
        <v>0.29703225806451611</v>
      </c>
      <c r="W173" s="37"/>
      <c r="X173" s="94">
        <f>V173</f>
        <v>0.29703225806451611</v>
      </c>
      <c r="Y173" s="94">
        <f>X173</f>
        <v>0.29703225806451611</v>
      </c>
      <c r="Z173" s="94">
        <f>Y173</f>
        <v>0.29703225806451611</v>
      </c>
      <c r="AA173" s="94">
        <f>Z173</f>
        <v>0.29703225806451611</v>
      </c>
      <c r="AB173" s="37"/>
      <c r="AC173" s="94">
        <f>AA173</f>
        <v>0.29703225806451611</v>
      </c>
      <c r="AD173" s="94">
        <f>AC173</f>
        <v>0.29703225806451611</v>
      </c>
      <c r="AE173" s="94">
        <f>AD173</f>
        <v>0.29703225806451611</v>
      </c>
      <c r="AF173" s="94">
        <f>AE173</f>
        <v>0.29703225806451611</v>
      </c>
      <c r="AG173" s="37"/>
      <c r="AH173" s="94">
        <f>AF173</f>
        <v>0.29703225806451611</v>
      </c>
      <c r="AI173" s="94">
        <f>AH173</f>
        <v>0.29703225806451611</v>
      </c>
      <c r="AJ173" s="94">
        <f>AI173</f>
        <v>0.29703225806451611</v>
      </c>
      <c r="AK173" s="94">
        <f>AJ173</f>
        <v>0.29703225806451611</v>
      </c>
      <c r="AL173" s="37"/>
      <c r="AM173" s="94">
        <f>AK173</f>
        <v>0.29703225806451611</v>
      </c>
      <c r="AN173" s="94">
        <f>AM173</f>
        <v>0.29703225806451611</v>
      </c>
      <c r="AO173" s="94">
        <f>AN173</f>
        <v>0.29703225806451611</v>
      </c>
      <c r="AP173" s="94">
        <f>AO173</f>
        <v>0.29703225806451611</v>
      </c>
      <c r="AQ173" s="37"/>
      <c r="AR173" s="94">
        <f>AP173</f>
        <v>0.29703225806451611</v>
      </c>
      <c r="AS173" s="94">
        <f>AR173</f>
        <v>0.29703225806451611</v>
      </c>
      <c r="AT173" s="94">
        <f>AS173</f>
        <v>0.29703225806451611</v>
      </c>
      <c r="AU173" s="94">
        <f>AT173</f>
        <v>0.29703225806451611</v>
      </c>
      <c r="AV173" s="37"/>
    </row>
    <row r="175" spans="2:48" x14ac:dyDescent="0.3">
      <c r="B175" s="382" t="s">
        <v>315</v>
      </c>
      <c r="Q175" s="383">
        <f>Q61-L61</f>
        <v>-6.6118692968142323E-4</v>
      </c>
      <c r="R175" s="383"/>
      <c r="S175" s="383">
        <f>S61-N61</f>
        <v>1.2901737440265071E-2</v>
      </c>
      <c r="T175" s="383">
        <f t="shared" ref="T175" si="503">T61-O61</f>
        <v>2.4025383293040548E-2</v>
      </c>
      <c r="U175" s="383">
        <f>U61-P61</f>
        <v>2.0536242149533701E-2</v>
      </c>
      <c r="V175" s="383">
        <f>V61-Q61</f>
        <v>1.2500000000000011E-2</v>
      </c>
      <c r="W175" s="383"/>
      <c r="X175" s="383">
        <f t="shared" ref="X175:AA175" si="504">X61-S61</f>
        <v>5.0000000000000044E-3</v>
      </c>
      <c r="Y175" s="383">
        <f t="shared" si="504"/>
        <v>2.5000000000000022E-3</v>
      </c>
      <c r="Z175" s="383">
        <f t="shared" si="504"/>
        <v>2.5000000000000022E-3</v>
      </c>
      <c r="AA175" s="383">
        <f t="shared" si="504"/>
        <v>-1.0000000000000009E-2</v>
      </c>
      <c r="AB175" s="383"/>
      <c r="AC175" s="383">
        <f t="shared" ref="AC175:AF175" si="505">AC61-X61</f>
        <v>-1.100000000000001E-2</v>
      </c>
      <c r="AD175" s="383">
        <f t="shared" si="505"/>
        <v>-2.0000000000000018E-3</v>
      </c>
      <c r="AE175" s="383">
        <f t="shared" si="505"/>
        <v>-2.0000000000000018E-3</v>
      </c>
      <c r="AF175" s="383">
        <f t="shared" si="505"/>
        <v>9.000000000000008E-3</v>
      </c>
      <c r="AH175" s="383">
        <f t="shared" ref="AH175:AK175" si="506">AH61-AC61</f>
        <v>-2.0000000000000018E-3</v>
      </c>
      <c r="AI175" s="383">
        <f t="shared" si="506"/>
        <v>-2.0000000000000018E-3</v>
      </c>
      <c r="AJ175" s="383">
        <f t="shared" si="506"/>
        <v>-2.0000000000000018E-3</v>
      </c>
      <c r="AK175" s="383">
        <f t="shared" si="506"/>
        <v>-2.0000000000000018E-3</v>
      </c>
    </row>
    <row r="176" spans="2:48" ht="14.55" customHeight="1" x14ac:dyDescent="0.3">
      <c r="B176" s="382" t="s">
        <v>316</v>
      </c>
      <c r="Q176" s="383">
        <f t="shared" ref="Q176:T176" si="507">Q63-L63</f>
        <v>-4.2476929877535707E-2</v>
      </c>
      <c r="R176" s="383"/>
      <c r="S176" s="383">
        <f t="shared" si="507"/>
        <v>-4.2111802490401029E-3</v>
      </c>
      <c r="T176" s="383">
        <f t="shared" si="507"/>
        <v>1.5713963584189306E-2</v>
      </c>
      <c r="U176" s="383">
        <f>U63-P63</f>
        <v>8.2485911822535729E-3</v>
      </c>
      <c r="V176" s="383">
        <f>V63-Q63</f>
        <v>1.2499999999999956E-2</v>
      </c>
      <c r="W176" s="383"/>
      <c r="X176" s="383">
        <f t="shared" ref="X176:AA176" si="508">X63-S63</f>
        <v>5.0000000000000044E-3</v>
      </c>
      <c r="Y176" s="383">
        <f>Y63-T63</f>
        <v>2.4999999999999467E-3</v>
      </c>
      <c r="Z176" s="383">
        <f t="shared" si="508"/>
        <v>1.0000000000000009E-2</v>
      </c>
      <c r="AA176" s="383">
        <f t="shared" si="508"/>
        <v>0</v>
      </c>
      <c r="AB176" s="383"/>
      <c r="AC176" s="383">
        <f t="shared" ref="AC176:AF176" si="509">AC63-X63</f>
        <v>-1.100000000000001E-2</v>
      </c>
      <c r="AD176" s="383">
        <f t="shared" si="509"/>
        <v>-2.0000000000000018E-3</v>
      </c>
      <c r="AE176" s="383">
        <f t="shared" si="509"/>
        <v>-2.0000000000000018E-3</v>
      </c>
      <c r="AF176" s="383">
        <f t="shared" si="509"/>
        <v>9.000000000000008E-3</v>
      </c>
      <c r="AH176" s="383">
        <f t="shared" ref="AH176:AK176" si="510">AH63-AC63</f>
        <v>-2.0000000000000018E-3</v>
      </c>
      <c r="AI176" s="383">
        <f t="shared" si="510"/>
        <v>-2.0000000000000018E-3</v>
      </c>
      <c r="AJ176" s="383">
        <f t="shared" si="510"/>
        <v>-2.0000000000000018E-3</v>
      </c>
      <c r="AK176" s="383">
        <f t="shared" si="510"/>
        <v>-2.0000000000000018E-3</v>
      </c>
    </row>
    <row r="177" spans="1:47" ht="14.55" customHeight="1" x14ac:dyDescent="0.3">
      <c r="B177" s="382" t="s">
        <v>317</v>
      </c>
      <c r="Q177" s="383">
        <f t="shared" ref="Q177:T177" si="511">Q65-L65</f>
        <v>-8.1024370824473238E-4</v>
      </c>
      <c r="R177" s="383"/>
      <c r="S177" s="383">
        <f t="shared" si="511"/>
        <v>-6.9169487840035036E-4</v>
      </c>
      <c r="T177" s="383">
        <f t="shared" si="511"/>
        <v>-3.3352357784197616E-4</v>
      </c>
      <c r="U177" s="383">
        <f>U65-P65</f>
        <v>1.7928850972594532E-3</v>
      </c>
      <c r="V177" s="383">
        <f t="shared" ref="V177:AA177" si="512">V65-Q65</f>
        <v>7.9246920006940773E-4</v>
      </c>
      <c r="W177" s="383"/>
      <c r="X177" s="383">
        <f t="shared" si="512"/>
        <v>0</v>
      </c>
      <c r="Y177" s="383">
        <f t="shared" si="512"/>
        <v>0</v>
      </c>
      <c r="Z177" s="383">
        <f t="shared" si="512"/>
        <v>0</v>
      </c>
      <c r="AA177" s="383">
        <f t="shared" si="512"/>
        <v>0</v>
      </c>
      <c r="AB177" s="383"/>
      <c r="AC177" s="383">
        <f t="shared" ref="AC177:AF177" si="513">AC65-X65</f>
        <v>0</v>
      </c>
      <c r="AD177" s="383">
        <f t="shared" si="513"/>
        <v>0</v>
      </c>
      <c r="AE177" s="383">
        <f t="shared" si="513"/>
        <v>0</v>
      </c>
      <c r="AF177" s="383">
        <f t="shared" si="513"/>
        <v>0</v>
      </c>
      <c r="AH177" s="383">
        <f t="shared" ref="AH177:AK177" si="514">AH65-AC65</f>
        <v>0</v>
      </c>
      <c r="AI177" s="383">
        <f t="shared" si="514"/>
        <v>0</v>
      </c>
      <c r="AJ177" s="383">
        <f t="shared" si="514"/>
        <v>0</v>
      </c>
      <c r="AK177" s="383">
        <f t="shared" si="514"/>
        <v>0</v>
      </c>
    </row>
    <row r="178" spans="1:47" ht="14.55" customHeight="1" x14ac:dyDescent="0.3">
      <c r="A178" s="161"/>
      <c r="B178" s="382" t="s">
        <v>318</v>
      </c>
      <c r="Q178" s="383">
        <f t="shared" ref="Q178:T178" si="515">Q68-L68</f>
        <v>-1.8685768961161399E-3</v>
      </c>
      <c r="R178" s="383"/>
      <c r="S178" s="383">
        <f t="shared" si="515"/>
        <v>-1.673261995123904E-3</v>
      </c>
      <c r="T178" s="383">
        <f t="shared" si="515"/>
        <v>-3.5644778537942175E-3</v>
      </c>
      <c r="U178" s="383">
        <f>U68-P68</f>
        <v>-9.2770624793186637E-4</v>
      </c>
      <c r="V178" s="383">
        <f t="shared" ref="V178:AA178" si="516">V68-Q68</f>
        <v>1.2500000000000002E-2</v>
      </c>
      <c r="W178" s="383"/>
      <c r="X178" s="383">
        <f t="shared" si="516"/>
        <v>4.9999999999999992E-3</v>
      </c>
      <c r="Y178" s="383">
        <f t="shared" si="516"/>
        <v>2.5000000000000005E-3</v>
      </c>
      <c r="Z178" s="383">
        <f t="shared" si="516"/>
        <v>2.5000000000000005E-3</v>
      </c>
      <c r="AA178" s="383">
        <f t="shared" si="516"/>
        <v>-1.0000000000000002E-2</v>
      </c>
      <c r="AB178" s="383"/>
      <c r="AC178" s="383">
        <f t="shared" ref="AC178:AF178" si="517">AC68-X68</f>
        <v>-2.9999999999999992E-3</v>
      </c>
      <c r="AD178" s="383">
        <f t="shared" si="517"/>
        <v>2.0000000000000018E-3</v>
      </c>
      <c r="AE178" s="383">
        <f t="shared" si="517"/>
        <v>-9.9999999999999915E-4</v>
      </c>
      <c r="AF178" s="383">
        <f t="shared" si="517"/>
        <v>-1.0000000000000009E-3</v>
      </c>
      <c r="AH178" s="383">
        <f t="shared" ref="AH178:AK178" si="518">AH68-AC68</f>
        <v>-1.0000000000000009E-3</v>
      </c>
      <c r="AI178" s="383">
        <f t="shared" si="518"/>
        <v>-1.0000000000000009E-3</v>
      </c>
      <c r="AJ178" s="383">
        <f t="shared" si="518"/>
        <v>-1.0000000000000009E-3</v>
      </c>
      <c r="AK178" s="383">
        <f t="shared" si="518"/>
        <v>-1.0000000000000009E-3</v>
      </c>
    </row>
    <row r="179" spans="1:47" s="23" customFormat="1" ht="14.55" customHeight="1" x14ac:dyDescent="0.3">
      <c r="A179" s="161"/>
    </row>
    <row r="180" spans="1:47" s="23" customFormat="1" ht="14.55" customHeight="1" x14ac:dyDescent="0.3">
      <c r="A180" s="161"/>
      <c r="B180" s="382" t="s">
        <v>319</v>
      </c>
      <c r="Q180" s="384">
        <f t="shared" ref="Q180:U180" si="519">Q94-L94</f>
        <v>-1.0328853878240896E-3</v>
      </c>
      <c r="R180" s="384"/>
      <c r="S180" s="384">
        <f t="shared" si="519"/>
        <v>1.3694957380178618E-2</v>
      </c>
      <c r="T180" s="384">
        <f t="shared" si="519"/>
        <v>2.2223284472510374E-2</v>
      </c>
      <c r="U180" s="384">
        <f t="shared" si="519"/>
        <v>4.4737654429502782E-2</v>
      </c>
      <c r="V180" s="384">
        <f>V94-Q94</f>
        <v>2.9999999999999971E-2</v>
      </c>
      <c r="W180" s="384"/>
      <c r="X180" s="384">
        <f t="shared" ref="X180:AA180" si="520">X94-S94</f>
        <v>2.0000000000000018E-2</v>
      </c>
      <c r="Y180" s="384">
        <f t="shared" si="520"/>
        <v>-1.0000000000000009E-2</v>
      </c>
      <c r="Z180" s="384">
        <f t="shared" si="520"/>
        <v>-5.0000000000000044E-3</v>
      </c>
      <c r="AA180" s="384">
        <f t="shared" si="520"/>
        <v>-5.0000000000000044E-3</v>
      </c>
      <c r="AB180" s="384"/>
      <c r="AC180" s="384">
        <f t="shared" ref="AC180:AF180" si="521">AC94-X94</f>
        <v>-2.0000000000000018E-2</v>
      </c>
      <c r="AD180" s="384">
        <f t="shared" si="521"/>
        <v>-2.0000000000000018E-2</v>
      </c>
      <c r="AE180" s="384">
        <f t="shared" si="521"/>
        <v>0</v>
      </c>
      <c r="AF180" s="384">
        <f t="shared" si="521"/>
        <v>0</v>
      </c>
      <c r="AG180" s="384"/>
      <c r="AH180" s="384">
        <f t="shared" ref="AH180:AK180" si="522">AH94-AC94</f>
        <v>-2.0000000000000018E-3</v>
      </c>
      <c r="AI180" s="384">
        <f t="shared" si="522"/>
        <v>-2.0000000000000018E-3</v>
      </c>
      <c r="AJ180" s="384">
        <f t="shared" si="522"/>
        <v>-1.0000000000000009E-2</v>
      </c>
      <c r="AK180" s="384">
        <f t="shared" si="522"/>
        <v>-2.0000000000000018E-3</v>
      </c>
      <c r="AL180" s="384"/>
      <c r="AM180" s="384">
        <f t="shared" ref="AM180:AP180" si="523">AM94-AH94</f>
        <v>0</v>
      </c>
      <c r="AN180" s="384">
        <f t="shared" si="523"/>
        <v>0</v>
      </c>
      <c r="AO180" s="384">
        <f t="shared" si="523"/>
        <v>0</v>
      </c>
      <c r="AP180" s="384">
        <f t="shared" si="523"/>
        <v>0</v>
      </c>
      <c r="AQ180" s="384"/>
      <c r="AR180" s="384">
        <f t="shared" ref="AR180:AU180" si="524">AR94-AM94</f>
        <v>0</v>
      </c>
      <c r="AS180" s="384">
        <f t="shared" si="524"/>
        <v>0</v>
      </c>
      <c r="AT180" s="384">
        <f t="shared" si="524"/>
        <v>0</v>
      </c>
      <c r="AU180" s="384">
        <f t="shared" si="524"/>
        <v>0</v>
      </c>
    </row>
    <row r="181" spans="1:47" ht="16.2" customHeight="1" x14ac:dyDescent="0.3">
      <c r="A181" s="161"/>
      <c r="B181" s="382" t="s">
        <v>320</v>
      </c>
      <c r="Q181" s="384">
        <f t="shared" ref="Q181:U181" si="525">Q96-L96</f>
        <v>-4.3229689278334871E-2</v>
      </c>
      <c r="R181" s="384"/>
      <c r="S181" s="384">
        <f t="shared" si="525"/>
        <v>2.6563781125539754E-2</v>
      </c>
      <c r="T181" s="384">
        <f t="shared" si="525"/>
        <v>6.6354626897605851E-2</v>
      </c>
      <c r="U181" s="384">
        <f t="shared" si="525"/>
        <v>0.11154167548484295</v>
      </c>
      <c r="V181" s="384">
        <f>V96-Q96</f>
        <v>4.9999999999999989E-2</v>
      </c>
      <c r="W181" s="384"/>
      <c r="X181" s="384">
        <f t="shared" ref="X181:AA181" si="526">X96-S96</f>
        <v>2.0000000000000018E-2</v>
      </c>
      <c r="Y181" s="384">
        <f t="shared" si="526"/>
        <v>-1.0000000000000009E-2</v>
      </c>
      <c r="Z181" s="384">
        <f t="shared" si="526"/>
        <v>-5.0000000000000044E-3</v>
      </c>
      <c r="AA181" s="384">
        <f t="shared" si="526"/>
        <v>-5.0000000000000044E-3</v>
      </c>
      <c r="AB181" s="384"/>
      <c r="AC181" s="384">
        <f t="shared" ref="AC181:AF181" si="527">AC96-X96</f>
        <v>0</v>
      </c>
      <c r="AD181" s="384">
        <f t="shared" si="527"/>
        <v>-2.0000000000000018E-2</v>
      </c>
      <c r="AE181" s="384">
        <f t="shared" si="527"/>
        <v>0</v>
      </c>
      <c r="AF181" s="384">
        <f t="shared" si="527"/>
        <v>0</v>
      </c>
      <c r="AG181" s="384"/>
      <c r="AH181" s="384">
        <f t="shared" ref="AH181:AK181" si="528">AH96-AC96</f>
        <v>-2.0000000000000018E-3</v>
      </c>
      <c r="AI181" s="384">
        <f t="shared" si="528"/>
        <v>-2.0000000000000018E-3</v>
      </c>
      <c r="AJ181" s="384">
        <f t="shared" si="528"/>
        <v>-2.0000000000000018E-2</v>
      </c>
      <c r="AK181" s="384">
        <f t="shared" si="528"/>
        <v>-2.0000000000000018E-3</v>
      </c>
      <c r="AL181" s="384"/>
      <c r="AM181" s="384">
        <f t="shared" ref="AM181:AP181" si="529">AM96-AH96</f>
        <v>0</v>
      </c>
      <c r="AN181" s="384">
        <f t="shared" si="529"/>
        <v>0</v>
      </c>
      <c r="AO181" s="384">
        <f t="shared" si="529"/>
        <v>0</v>
      </c>
      <c r="AP181" s="384">
        <f t="shared" si="529"/>
        <v>0</v>
      </c>
      <c r="AQ181" s="384"/>
      <c r="AR181" s="384">
        <f t="shared" ref="AR181:AU181" si="530">AR96-AM96</f>
        <v>0</v>
      </c>
      <c r="AS181" s="384">
        <f t="shared" si="530"/>
        <v>0</v>
      </c>
      <c r="AT181" s="384">
        <f t="shared" si="530"/>
        <v>0</v>
      </c>
      <c r="AU181" s="384">
        <f t="shared" si="530"/>
        <v>0</v>
      </c>
    </row>
    <row r="182" spans="1:47" ht="14.55" customHeight="1" x14ac:dyDescent="0.3">
      <c r="A182" s="161"/>
      <c r="B182" s="382" t="s">
        <v>321</v>
      </c>
      <c r="Q182" s="384">
        <f t="shared" ref="Q182:U182" si="531">Q98-L98</f>
        <v>-5.6134797444197491E-3</v>
      </c>
      <c r="R182" s="384"/>
      <c r="S182" s="384">
        <f t="shared" si="531"/>
        <v>1.6279115038060621E-4</v>
      </c>
      <c r="T182" s="384">
        <f t="shared" si="531"/>
        <v>5.0139473649204631E-3</v>
      </c>
      <c r="U182" s="384">
        <f t="shared" si="531"/>
        <v>1.4893713799812251E-2</v>
      </c>
      <c r="V182" s="384">
        <f>V98-Q98</f>
        <v>0</v>
      </c>
      <c r="W182" s="384"/>
      <c r="X182" s="384">
        <f t="shared" ref="X182:AA182" si="532">X98-S98</f>
        <v>0</v>
      </c>
      <c r="Y182" s="384">
        <f t="shared" si="532"/>
        <v>0</v>
      </c>
      <c r="Z182" s="384">
        <f t="shared" si="532"/>
        <v>-4.9999999999999975E-3</v>
      </c>
      <c r="AA182" s="384">
        <f t="shared" si="532"/>
        <v>0</v>
      </c>
      <c r="AB182" s="384"/>
      <c r="AC182" s="384">
        <f t="shared" ref="AC182:AF182" si="533">AC98-X98</f>
        <v>0</v>
      </c>
      <c r="AD182" s="384">
        <f t="shared" si="533"/>
        <v>0</v>
      </c>
      <c r="AE182" s="384">
        <f t="shared" si="533"/>
        <v>-5.000000000000001E-3</v>
      </c>
      <c r="AF182" s="384">
        <f t="shared" si="533"/>
        <v>0</v>
      </c>
      <c r="AG182" s="384"/>
      <c r="AH182" s="384">
        <f t="shared" ref="AH182:AK182" si="534">AH98-AC98</f>
        <v>-1.9999999999999983E-3</v>
      </c>
      <c r="AI182" s="384">
        <f t="shared" si="534"/>
        <v>-2.0000000000000018E-3</v>
      </c>
      <c r="AJ182" s="384">
        <f t="shared" si="534"/>
        <v>-6.0000000000000019E-3</v>
      </c>
      <c r="AK182" s="384">
        <f t="shared" si="534"/>
        <v>-1.9999999999999983E-3</v>
      </c>
      <c r="AL182" s="384"/>
      <c r="AM182" s="384">
        <f t="shared" ref="AM182:AP182" si="535">AM98-AH98</f>
        <v>0</v>
      </c>
      <c r="AN182" s="384">
        <f t="shared" si="535"/>
        <v>0</v>
      </c>
      <c r="AO182" s="384">
        <f t="shared" si="535"/>
        <v>0</v>
      </c>
      <c r="AP182" s="384">
        <f t="shared" si="535"/>
        <v>0</v>
      </c>
      <c r="AQ182" s="384"/>
      <c r="AR182" s="384">
        <f t="shared" ref="AR182:AU182" si="536">AR98-AM98</f>
        <v>0</v>
      </c>
      <c r="AS182" s="384">
        <f t="shared" si="536"/>
        <v>0</v>
      </c>
      <c r="AT182" s="384">
        <f t="shared" si="536"/>
        <v>0</v>
      </c>
      <c r="AU182" s="384">
        <f t="shared" si="536"/>
        <v>0</v>
      </c>
    </row>
    <row r="183" spans="1:47" ht="14.55" customHeight="1" x14ac:dyDescent="0.3">
      <c r="A183" s="161"/>
      <c r="B183" s="382" t="s">
        <v>322</v>
      </c>
      <c r="Q183" s="384">
        <f t="shared" ref="Q183:U183" si="537">Q101-L101</f>
        <v>-4.5175814670814843E-3</v>
      </c>
      <c r="R183" s="384"/>
      <c r="S183" s="384">
        <f t="shared" si="537"/>
        <v>-1.2605124458150846E-3</v>
      </c>
      <c r="T183" s="384">
        <f t="shared" si="537"/>
        <v>-2.780006809811171E-3</v>
      </c>
      <c r="U183" s="384">
        <f t="shared" si="537"/>
        <v>-4.0374511378418465E-3</v>
      </c>
      <c r="V183" s="384">
        <f>V101-Q101</f>
        <v>0</v>
      </c>
      <c r="W183" s="384"/>
      <c r="X183" s="384">
        <f t="shared" ref="X183:AA183" si="538">X101-S101</f>
        <v>0</v>
      </c>
      <c r="Y183" s="384">
        <f t="shared" si="538"/>
        <v>0</v>
      </c>
      <c r="Z183" s="384">
        <f t="shared" si="538"/>
        <v>-4.9999999999999975E-3</v>
      </c>
      <c r="AA183" s="384">
        <f t="shared" si="538"/>
        <v>-4.9999999999999975E-3</v>
      </c>
      <c r="AB183" s="384"/>
      <c r="AC183" s="384">
        <f t="shared" ref="AC183:AF183" si="539">AC101-X101</f>
        <v>-3.0000000000000027E-3</v>
      </c>
      <c r="AD183" s="384">
        <f t="shared" si="539"/>
        <v>0</v>
      </c>
      <c r="AE183" s="384">
        <f t="shared" si="539"/>
        <v>0</v>
      </c>
      <c r="AF183" s="384">
        <f t="shared" si="539"/>
        <v>0</v>
      </c>
      <c r="AG183" s="384"/>
      <c r="AH183" s="384">
        <f t="shared" ref="AH183:AK183" si="540">AH101-AC101</f>
        <v>-2.0000000000000018E-3</v>
      </c>
      <c r="AI183" s="384">
        <f t="shared" si="540"/>
        <v>-2.0000000000000018E-3</v>
      </c>
      <c r="AJ183" s="384">
        <f t="shared" si="540"/>
        <v>-2.0000000000000018E-3</v>
      </c>
      <c r="AK183" s="384">
        <f t="shared" si="540"/>
        <v>-2.0000000000000018E-3</v>
      </c>
      <c r="AL183" s="384"/>
      <c r="AM183" s="384">
        <f t="shared" ref="AM183:AP183" si="541">AM101-AH101</f>
        <v>0</v>
      </c>
      <c r="AN183" s="384">
        <f t="shared" si="541"/>
        <v>0</v>
      </c>
      <c r="AO183" s="384">
        <f t="shared" si="541"/>
        <v>0</v>
      </c>
      <c r="AP183" s="384">
        <f t="shared" si="541"/>
        <v>0</v>
      </c>
      <c r="AQ183" s="384"/>
      <c r="AR183" s="384">
        <f t="shared" ref="AR183:AU183" si="542">AR101-AM101</f>
        <v>0</v>
      </c>
      <c r="AS183" s="384">
        <f t="shared" si="542"/>
        <v>0</v>
      </c>
      <c r="AT183" s="384">
        <f t="shared" si="542"/>
        <v>0</v>
      </c>
      <c r="AU183" s="384">
        <f t="shared" si="542"/>
        <v>0</v>
      </c>
    </row>
    <row r="184" spans="1:47" ht="14.55" customHeight="1" x14ac:dyDescent="0.3">
      <c r="A184" s="161"/>
    </row>
    <row r="185" spans="1:47" s="8" customFormat="1" x14ac:dyDescent="0.3">
      <c r="A185" s="161"/>
      <c r="B185" s="382" t="s">
        <v>323</v>
      </c>
      <c r="Q185" s="384">
        <f t="shared" ref="Q185:T185" si="543">Q111-L111</f>
        <v>-7.3337522717080939E-2</v>
      </c>
      <c r="R185" s="384"/>
      <c r="S185" s="384">
        <f t="shared" si="543"/>
        <v>-8.2275015567009335E-3</v>
      </c>
      <c r="T185" s="384">
        <f t="shared" si="543"/>
        <v>2.1961732903702735E-2</v>
      </c>
      <c r="U185" s="384">
        <f>U111-P111</f>
        <v>3.1106851202291286E-2</v>
      </c>
      <c r="V185" s="384">
        <f t="shared" ref="V185:AU185" si="544">V111-Q111</f>
        <v>3.0000000000000027E-2</v>
      </c>
      <c r="W185" s="384"/>
      <c r="X185" s="384">
        <f t="shared" si="544"/>
        <v>1.5000000000000013E-2</v>
      </c>
      <c r="Y185" s="384">
        <f t="shared" si="544"/>
        <v>0</v>
      </c>
      <c r="Z185" s="384">
        <f t="shared" si="544"/>
        <v>-5.0000000000000044E-3</v>
      </c>
      <c r="AA185" s="384">
        <f t="shared" si="544"/>
        <v>-3.0000000000000027E-2</v>
      </c>
      <c r="AB185" s="384"/>
      <c r="AC185" s="384">
        <f t="shared" si="544"/>
        <v>0</v>
      </c>
      <c r="AD185" s="384">
        <f t="shared" si="544"/>
        <v>0</v>
      </c>
      <c r="AE185" s="384">
        <f t="shared" si="544"/>
        <v>-2.0000000000000018E-2</v>
      </c>
      <c r="AF185" s="384">
        <f t="shared" si="544"/>
        <v>0</v>
      </c>
      <c r="AG185" s="384"/>
      <c r="AH185" s="384">
        <f t="shared" si="544"/>
        <v>0</v>
      </c>
      <c r="AI185" s="384">
        <f t="shared" si="544"/>
        <v>0</v>
      </c>
      <c r="AJ185" s="384">
        <f t="shared" si="544"/>
        <v>-1.0000000000000009E-2</v>
      </c>
      <c r="AK185" s="384">
        <f t="shared" si="544"/>
        <v>0</v>
      </c>
      <c r="AL185" s="384"/>
      <c r="AM185" s="384">
        <f t="shared" si="544"/>
        <v>0</v>
      </c>
      <c r="AN185" s="384">
        <f t="shared" si="544"/>
        <v>0</v>
      </c>
      <c r="AO185" s="384">
        <f t="shared" si="544"/>
        <v>0</v>
      </c>
      <c r="AP185" s="384">
        <f t="shared" si="544"/>
        <v>0</v>
      </c>
      <c r="AQ185" s="384"/>
      <c r="AR185" s="384">
        <f t="shared" si="544"/>
        <v>0</v>
      </c>
      <c r="AS185" s="384">
        <f t="shared" si="544"/>
        <v>0</v>
      </c>
      <c r="AT185" s="384">
        <f t="shared" si="544"/>
        <v>0</v>
      </c>
      <c r="AU185" s="384">
        <f t="shared" si="544"/>
        <v>0</v>
      </c>
    </row>
    <row r="186" spans="1:47" s="8" customFormat="1" x14ac:dyDescent="0.3">
      <c r="A186" s="161"/>
      <c r="B186" s="382" t="s">
        <v>324</v>
      </c>
      <c r="Q186" s="384">
        <f t="shared" ref="Q186:T186" si="545">Q113-L113</f>
        <v>-1.0844701708009816E-3</v>
      </c>
      <c r="R186" s="384"/>
      <c r="S186" s="384">
        <f t="shared" si="545"/>
        <v>-2.5553392161973866E-3</v>
      </c>
      <c r="T186" s="384">
        <f t="shared" si="545"/>
        <v>-1.2309816148434665E-2</v>
      </c>
      <c r="U186" s="384">
        <f>U113-P113</f>
        <v>5.2264096219557514E-2</v>
      </c>
      <c r="V186" s="384">
        <f t="shared" ref="V186:AU186" si="546">V113-Q113</f>
        <v>0.04</v>
      </c>
      <c r="W186" s="384"/>
      <c r="X186" s="384">
        <f t="shared" si="546"/>
        <v>0.02</v>
      </c>
      <c r="Y186" s="384">
        <f t="shared" si="546"/>
        <v>0</v>
      </c>
      <c r="Z186" s="384">
        <f t="shared" si="546"/>
        <v>-5.000000000000001E-3</v>
      </c>
      <c r="AA186" s="384">
        <f t="shared" si="546"/>
        <v>-0.03</v>
      </c>
      <c r="AB186" s="384"/>
      <c r="AC186" s="384">
        <f t="shared" si="546"/>
        <v>-0.02</v>
      </c>
      <c r="AD186" s="384">
        <f t="shared" si="546"/>
        <v>0</v>
      </c>
      <c r="AE186" s="384">
        <f t="shared" si="546"/>
        <v>0</v>
      </c>
      <c r="AF186" s="384">
        <f t="shared" si="546"/>
        <v>-0.02</v>
      </c>
      <c r="AG186" s="384"/>
      <c r="AH186" s="384">
        <f t="shared" si="546"/>
        <v>-2.9999999999999992E-3</v>
      </c>
      <c r="AI186" s="384">
        <f t="shared" si="546"/>
        <v>0</v>
      </c>
      <c r="AJ186" s="384">
        <f t="shared" si="546"/>
        <v>0</v>
      </c>
      <c r="AK186" s="384">
        <f t="shared" si="546"/>
        <v>-4.0000000000000001E-3</v>
      </c>
      <c r="AL186" s="384"/>
      <c r="AM186" s="384">
        <f t="shared" si="546"/>
        <v>0</v>
      </c>
      <c r="AN186" s="384">
        <f t="shared" si="546"/>
        <v>0</v>
      </c>
      <c r="AO186" s="384">
        <f t="shared" si="546"/>
        <v>0</v>
      </c>
      <c r="AP186" s="384">
        <f t="shared" si="546"/>
        <v>0</v>
      </c>
      <c r="AQ186" s="384"/>
      <c r="AR186" s="384">
        <f t="shared" si="546"/>
        <v>0</v>
      </c>
      <c r="AS186" s="384">
        <f t="shared" si="546"/>
        <v>0</v>
      </c>
      <c r="AT186" s="384">
        <f t="shared" si="546"/>
        <v>0</v>
      </c>
      <c r="AU186" s="384">
        <f t="shared" si="546"/>
        <v>0</v>
      </c>
    </row>
    <row r="187" spans="1:47" s="8" customFormat="1" x14ac:dyDescent="0.3">
      <c r="A187" s="161"/>
      <c r="B187" s="382" t="s">
        <v>325</v>
      </c>
      <c r="Q187" s="384">
        <f t="shared" ref="Q187:T187" si="547">Q116-L116</f>
        <v>2.3693128623915273E-3</v>
      </c>
      <c r="R187" s="384"/>
      <c r="S187" s="384">
        <f t="shared" si="547"/>
        <v>1.9882391779431439E-3</v>
      </c>
      <c r="T187" s="384">
        <f t="shared" si="547"/>
        <v>-8.1949465585923805E-4</v>
      </c>
      <c r="U187" s="384">
        <f>U116-P116</f>
        <v>-2.2101675866256984E-3</v>
      </c>
      <c r="V187" s="384">
        <f t="shared" ref="V187:AU187" si="548">V116-Q116</f>
        <v>0</v>
      </c>
      <c r="W187" s="384"/>
      <c r="X187" s="384">
        <f t="shared" si="548"/>
        <v>0</v>
      </c>
      <c r="Y187" s="384">
        <f t="shared" si="548"/>
        <v>0</v>
      </c>
      <c r="Z187" s="384">
        <f t="shared" si="548"/>
        <v>0</v>
      </c>
      <c r="AA187" s="384">
        <f t="shared" si="548"/>
        <v>0</v>
      </c>
      <c r="AB187" s="384"/>
      <c r="AC187" s="384">
        <f t="shared" si="548"/>
        <v>0</v>
      </c>
      <c r="AD187" s="384">
        <f t="shared" si="548"/>
        <v>0</v>
      </c>
      <c r="AE187" s="384">
        <f t="shared" si="548"/>
        <v>0</v>
      </c>
      <c r="AF187" s="384">
        <f t="shared" si="548"/>
        <v>0</v>
      </c>
      <c r="AG187" s="384"/>
      <c r="AH187" s="384">
        <f t="shared" si="548"/>
        <v>0</v>
      </c>
      <c r="AI187" s="384">
        <f t="shared" si="548"/>
        <v>0</v>
      </c>
      <c r="AJ187" s="384">
        <f t="shared" si="548"/>
        <v>0</v>
      </c>
      <c r="AK187" s="384">
        <f t="shared" si="548"/>
        <v>0</v>
      </c>
      <c r="AL187" s="384"/>
      <c r="AM187" s="384">
        <f t="shared" si="548"/>
        <v>0</v>
      </c>
      <c r="AN187" s="384">
        <f t="shared" si="548"/>
        <v>0</v>
      </c>
      <c r="AO187" s="384">
        <f t="shared" si="548"/>
        <v>0</v>
      </c>
      <c r="AP187" s="384">
        <f t="shared" si="548"/>
        <v>0</v>
      </c>
      <c r="AQ187" s="384"/>
      <c r="AR187" s="384">
        <f t="shared" si="548"/>
        <v>0</v>
      </c>
      <c r="AS187" s="384">
        <f t="shared" si="548"/>
        <v>0</v>
      </c>
      <c r="AT187" s="384">
        <f t="shared" si="548"/>
        <v>0</v>
      </c>
      <c r="AU187" s="384">
        <f t="shared" si="548"/>
        <v>0</v>
      </c>
    </row>
    <row r="188" spans="1:47" s="8" customFormat="1" x14ac:dyDescent="0.3">
      <c r="A188" s="161"/>
    </row>
    <row r="189" spans="1:47" s="8" customFormat="1" x14ac:dyDescent="0.3">
      <c r="A189" s="161"/>
    </row>
    <row r="190" spans="1:47" x14ac:dyDescent="0.3">
      <c r="A190" s="161"/>
    </row>
    <row r="191" spans="1:47" x14ac:dyDescent="0.3">
      <c r="A191" s="161"/>
    </row>
    <row r="192" spans="1:47" x14ac:dyDescent="0.3">
      <c r="A192" s="161"/>
    </row>
    <row r="193" spans="1:1" s="23" customFormat="1" x14ac:dyDescent="0.3">
      <c r="A193" s="161"/>
    </row>
    <row r="194" spans="1:1" x14ac:dyDescent="0.3">
      <c r="A194" s="161"/>
    </row>
    <row r="195" spans="1:1" x14ac:dyDescent="0.3">
      <c r="A195" s="161"/>
    </row>
    <row r="196" spans="1:1" x14ac:dyDescent="0.3">
      <c r="A196" s="161"/>
    </row>
    <row r="197" spans="1:1" x14ac:dyDescent="0.3">
      <c r="A197" s="161"/>
    </row>
    <row r="198" spans="1:1" x14ac:dyDescent="0.3">
      <c r="A198" s="161"/>
    </row>
    <row r="199" spans="1:1" x14ac:dyDescent="0.3">
      <c r="A199" s="161"/>
    </row>
    <row r="200" spans="1:1" x14ac:dyDescent="0.3">
      <c r="A200" s="161"/>
    </row>
    <row r="201" spans="1:1" x14ac:dyDescent="0.3">
      <c r="A201" s="161"/>
    </row>
    <row r="202" spans="1:1" x14ac:dyDescent="0.3">
      <c r="A202" s="161"/>
    </row>
    <row r="203" spans="1:1" x14ac:dyDescent="0.3">
      <c r="A203" s="161"/>
    </row>
    <row r="204" spans="1:1" x14ac:dyDescent="0.3">
      <c r="A204" s="161"/>
    </row>
    <row r="205" spans="1:1" ht="15.75" customHeight="1" x14ac:dyDescent="0.3">
      <c r="A205" s="161"/>
    </row>
    <row r="206" spans="1:1" x14ac:dyDescent="0.3">
      <c r="A206" s="161"/>
    </row>
    <row r="219" s="23" customFormat="1" x14ac:dyDescent="0.3"/>
    <row r="221" s="23" customFormat="1" x14ac:dyDescent="0.3"/>
    <row r="222" s="23" customFormat="1" x14ac:dyDescent="0.3"/>
    <row r="223" s="23" customFormat="1" x14ac:dyDescent="0.3"/>
    <row r="224" s="23" customFormat="1" x14ac:dyDescent="0.3"/>
    <row r="225" spans="2:7" s="23" customFormat="1" x14ac:dyDescent="0.3"/>
    <row r="226" spans="2:7" s="23" customFormat="1" x14ac:dyDescent="0.3"/>
    <row r="227" spans="2:7" s="23" customFormat="1" x14ac:dyDescent="0.3"/>
    <row r="228" spans="2:7" s="23" customFormat="1" x14ac:dyDescent="0.3"/>
    <row r="230" spans="2:7" x14ac:dyDescent="0.3">
      <c r="B230" s="7"/>
      <c r="C230" s="7"/>
      <c r="D230" s="4"/>
      <c r="E230" s="4"/>
      <c r="F230" s="4"/>
      <c r="G230" s="4"/>
    </row>
    <row r="270" s="23" customFormat="1" x14ac:dyDescent="0.3"/>
    <row r="271" s="23" customFormat="1" x14ac:dyDescent="0.3"/>
    <row r="272" s="23" customFormat="1" x14ac:dyDescent="0.3"/>
    <row r="281" spans="4:48" s="23" customFormat="1" x14ac:dyDescent="0.3"/>
    <row r="282" spans="4:48" s="23" customFormat="1" x14ac:dyDescent="0.3"/>
    <row r="283" spans="4:48" s="23" customFormat="1" x14ac:dyDescent="0.3"/>
    <row r="285" spans="4:48" s="63" customFormat="1" x14ac:dyDescent="0.3"/>
    <row r="286" spans="4:48" x14ac:dyDescent="0.3">
      <c r="D286" s="10"/>
      <c r="E286" s="10"/>
      <c r="F286" s="10"/>
      <c r="G286" s="10"/>
      <c r="H286" s="10"/>
      <c r="I286" s="10"/>
      <c r="J286" s="10"/>
      <c r="K286" s="10"/>
      <c r="L286" s="10"/>
      <c r="M286" s="10"/>
      <c r="N286" s="10"/>
      <c r="O286" s="10"/>
      <c r="P286" s="10"/>
      <c r="Q286" s="10"/>
      <c r="R286" s="10"/>
      <c r="S286" s="10"/>
      <c r="T286" s="10"/>
      <c r="U286" s="10"/>
      <c r="V286" s="10"/>
      <c r="W286" s="10"/>
      <c r="X286" s="10"/>
      <c r="AC286" s="10"/>
      <c r="AD286" s="10"/>
      <c r="AE286" s="10"/>
      <c r="AF286" s="10"/>
      <c r="AG286" s="10"/>
      <c r="AH286" s="10"/>
      <c r="AI286" s="10"/>
      <c r="AJ286" s="10"/>
      <c r="AK286" s="10"/>
      <c r="AL286" s="10"/>
      <c r="AM286" s="10"/>
      <c r="AN286" s="10"/>
      <c r="AO286" s="10"/>
      <c r="AP286" s="10"/>
      <c r="AQ286" s="10"/>
      <c r="AR286" s="10"/>
      <c r="AS286" s="10"/>
      <c r="AT286" s="10"/>
      <c r="AU286" s="10"/>
      <c r="AV286" s="10"/>
    </row>
    <row r="287" spans="4:48" x14ac:dyDescent="0.3">
      <c r="D287" s="163"/>
      <c r="E287" s="5"/>
      <c r="F287" s="5"/>
      <c r="G287" s="5"/>
      <c r="H287" s="5"/>
      <c r="I287" s="5"/>
      <c r="J287" s="5"/>
      <c r="K287" s="5"/>
      <c r="L287" s="5"/>
      <c r="M287" s="5"/>
      <c r="N287" s="5"/>
      <c r="O287" s="5"/>
      <c r="P287" s="5"/>
      <c r="Q287" s="5"/>
      <c r="R287" s="5"/>
      <c r="S287" s="5"/>
      <c r="T287" s="5"/>
      <c r="U287" s="5"/>
      <c r="V287" s="5"/>
      <c r="W287" s="5"/>
      <c r="X287" s="5"/>
      <c r="AC287" s="5"/>
      <c r="AD287" s="5"/>
      <c r="AE287" s="5"/>
      <c r="AF287" s="5"/>
      <c r="AG287" s="5"/>
      <c r="AH287" s="5"/>
      <c r="AI287" s="5"/>
      <c r="AJ287" s="5"/>
      <c r="AK287" s="5"/>
      <c r="AL287" s="5"/>
      <c r="AM287" s="5"/>
      <c r="AN287" s="5"/>
      <c r="AO287" s="5"/>
      <c r="AP287" s="5"/>
      <c r="AQ287" s="5"/>
      <c r="AR287" s="5"/>
      <c r="AS287" s="5"/>
      <c r="AT287" s="5"/>
      <c r="AU287" s="5"/>
      <c r="AV287" s="5"/>
    </row>
    <row r="288" spans="4:48" x14ac:dyDescent="0.3">
      <c r="D288" s="164"/>
    </row>
    <row r="289" spans="4:48" x14ac:dyDescent="0.3">
      <c r="D289" s="164"/>
    </row>
    <row r="290" spans="4:48" x14ac:dyDescent="0.3">
      <c r="D290" s="164"/>
    </row>
    <row r="291" spans="4:48" x14ac:dyDescent="0.3">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row>
    <row r="293" spans="4:48" ht="15" customHeight="1" x14ac:dyDescent="0.3"/>
    <row r="295" spans="4:48" x14ac:dyDescent="0.3">
      <c r="D295" s="163"/>
    </row>
    <row r="296" spans="4:48" x14ac:dyDescent="0.3">
      <c r="D296" s="164"/>
    </row>
    <row r="297" spans="4:48" x14ac:dyDescent="0.3">
      <c r="D297" s="164"/>
    </row>
    <row r="298" spans="4:48" x14ac:dyDescent="0.3">
      <c r="D298" s="164"/>
    </row>
    <row r="299" spans="4:48" x14ac:dyDescent="0.3">
      <c r="D299" s="164"/>
    </row>
    <row r="300" spans="4:48" x14ac:dyDescent="0.3">
      <c r="D300" s="164"/>
    </row>
    <row r="301" spans="4:48" x14ac:dyDescent="0.3">
      <c r="D301" s="164"/>
    </row>
    <row r="302" spans="4:48" x14ac:dyDescent="0.3">
      <c r="D302" s="164"/>
    </row>
    <row r="303" spans="4:48" x14ac:dyDescent="0.3">
      <c r="D303" s="164"/>
    </row>
    <row r="304" spans="4:48" x14ac:dyDescent="0.3">
      <c r="D304" s="164"/>
    </row>
    <row r="305" spans="4:4" x14ac:dyDescent="0.3">
      <c r="D305" s="164"/>
    </row>
    <row r="306" spans="4:4" x14ac:dyDescent="0.3">
      <c r="D306" s="164"/>
    </row>
    <row r="307" spans="4:4" x14ac:dyDescent="0.3">
      <c r="D307" s="164"/>
    </row>
    <row r="308" spans="4:4" x14ac:dyDescent="0.3">
      <c r="D308" s="164"/>
    </row>
    <row r="309" spans="4:4" x14ac:dyDescent="0.3">
      <c r="D309" s="164"/>
    </row>
    <row r="310" spans="4:4" x14ac:dyDescent="0.3">
      <c r="D310" s="164"/>
    </row>
    <row r="311" spans="4:4" x14ac:dyDescent="0.3">
      <c r="D311" s="164"/>
    </row>
    <row r="312" spans="4:4" x14ac:dyDescent="0.3">
      <c r="D312" s="164"/>
    </row>
    <row r="313" spans="4:4" x14ac:dyDescent="0.3">
      <c r="D313" s="164"/>
    </row>
    <row r="314" spans="4:4" x14ac:dyDescent="0.3">
      <c r="D314" s="164"/>
    </row>
    <row r="315" spans="4:4" x14ac:dyDescent="0.3">
      <c r="D315" s="164"/>
    </row>
    <row r="316" spans="4:4" x14ac:dyDescent="0.3">
      <c r="D316" s="164"/>
    </row>
  </sheetData>
  <dataConsolidate/>
  <mergeCells count="61">
    <mergeCell ref="B172:C172"/>
    <mergeCell ref="B156:C156"/>
    <mergeCell ref="B157:C157"/>
    <mergeCell ref="B158:C158"/>
    <mergeCell ref="B162:C162"/>
    <mergeCell ref="B163:C163"/>
    <mergeCell ref="B165:C165"/>
    <mergeCell ref="B155:C155"/>
    <mergeCell ref="B140:C140"/>
    <mergeCell ref="B141:C141"/>
    <mergeCell ref="B142:C142"/>
    <mergeCell ref="B143:C143"/>
    <mergeCell ref="B144:C144"/>
    <mergeCell ref="B145:C145"/>
    <mergeCell ref="B150:C150"/>
    <mergeCell ref="B151:C151"/>
    <mergeCell ref="B152:C152"/>
    <mergeCell ref="B153:C153"/>
    <mergeCell ref="B154:C154"/>
    <mergeCell ref="B138:C138"/>
    <mergeCell ref="B87:C87"/>
    <mergeCell ref="B88:C88"/>
    <mergeCell ref="B92:C92"/>
    <mergeCell ref="B93:C93"/>
    <mergeCell ref="B107:C107"/>
    <mergeCell ref="B108:C108"/>
    <mergeCell ref="B110:C110"/>
    <mergeCell ref="B122:C122"/>
    <mergeCell ref="B123:C123"/>
    <mergeCell ref="B125:C125"/>
    <mergeCell ref="B132:C132"/>
    <mergeCell ref="B83:C83"/>
    <mergeCell ref="B40:C40"/>
    <mergeCell ref="B41:C41"/>
    <mergeCell ref="B45:C45"/>
    <mergeCell ref="B50:C50"/>
    <mergeCell ref="B54:C54"/>
    <mergeCell ref="B55:C55"/>
    <mergeCell ref="B59:C59"/>
    <mergeCell ref="B60:C60"/>
    <mergeCell ref="B73:C73"/>
    <mergeCell ref="B74:C74"/>
    <mergeCell ref="B78:C78"/>
    <mergeCell ref="B39:C39"/>
    <mergeCell ref="B8:C8"/>
    <mergeCell ref="B9:C9"/>
    <mergeCell ref="B16:C16"/>
    <mergeCell ref="B23:C23"/>
    <mergeCell ref="B24:C24"/>
    <mergeCell ref="B25:C25"/>
    <mergeCell ref="B30:C30"/>
    <mergeCell ref="B31:C31"/>
    <mergeCell ref="B32:C32"/>
    <mergeCell ref="B33:C33"/>
    <mergeCell ref="B38:C38"/>
    <mergeCell ref="B7:C7"/>
    <mergeCell ref="A3:A4"/>
    <mergeCell ref="B3:C3"/>
    <mergeCell ref="B4:C4"/>
    <mergeCell ref="B5:C5"/>
    <mergeCell ref="B6:C6"/>
  </mergeCells>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rowBreaks count="1" manualBreakCount="1">
    <brk id="138"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C7580-B423-45BD-91AD-6B268AC02D5B}">
  <sheetPr>
    <tabColor theme="6" tint="0.79998168889431442"/>
    <pageSetUpPr fitToPage="1"/>
  </sheetPr>
  <dimension ref="A1:AV67"/>
  <sheetViews>
    <sheetView showGridLines="0" zoomScaleNormal="100" workbookViewId="0">
      <pane xSplit="3" ySplit="5" topLeftCell="T8" activePane="bottomRight" state="frozen"/>
      <selection activeCell="B24" sqref="B24:C24"/>
      <selection pane="topRight" activeCell="B24" sqref="B24:C24"/>
      <selection pane="bottomLeft" activeCell="B24" sqref="B24:C24"/>
      <selection pane="bottomRight" activeCell="Y18" sqref="Y18"/>
    </sheetView>
  </sheetViews>
  <sheetFormatPr defaultColWidth="8.88671875" defaultRowHeight="14.4" outlineLevelRow="1" outlineLevelCol="1" x14ac:dyDescent="0.3"/>
  <cols>
    <col min="1" max="1" width="2" style="2" customWidth="1"/>
    <col min="2" max="2" width="39" style="2" customWidth="1"/>
    <col min="3" max="3" width="10" style="2" customWidth="1"/>
    <col min="4" max="5" width="11.5546875" style="1" customWidth="1" outlineLevel="1"/>
    <col min="6" max="7" width="11.5546875" style="3" customWidth="1" outlineLevel="1"/>
    <col min="8" max="8" width="11.5546875" style="3" customWidth="1"/>
    <col min="9" max="10" width="11.5546875" style="1" customWidth="1" outlineLevel="1"/>
    <col min="11" max="12" width="11.5546875" style="3" customWidth="1" outlineLevel="1"/>
    <col min="13" max="13" width="11.5546875" style="3" customWidth="1"/>
    <col min="14" max="15" width="11.5546875" style="1" customWidth="1" outlineLevel="1"/>
    <col min="16" max="17" width="11.5546875" style="3" customWidth="1" outlineLevel="1"/>
    <col min="18" max="18" width="11.5546875" style="3" customWidth="1"/>
    <col min="19" max="20" width="11.5546875" style="1" customWidth="1" outlineLevel="1"/>
    <col min="21" max="22" width="11.5546875" style="3" customWidth="1" outlineLevel="1"/>
    <col min="23" max="23" width="11.5546875" style="3" customWidth="1"/>
    <col min="24" max="25" width="11.5546875" style="1" customWidth="1" outlineLevel="1"/>
    <col min="26" max="27" width="11.5546875" style="3" customWidth="1" outlineLevel="1"/>
    <col min="28" max="28" width="11.5546875" style="3" customWidth="1"/>
    <col min="29" max="30" width="11.5546875" style="1" customWidth="1" outlineLevel="1"/>
    <col min="31" max="32" width="11.5546875" style="3" customWidth="1" outlineLevel="1"/>
    <col min="33" max="33" width="11.5546875" style="3" customWidth="1"/>
    <col min="34" max="35" width="11.5546875" style="1" customWidth="1" outlineLevel="1"/>
    <col min="36" max="37" width="11.5546875" style="3" customWidth="1" outlineLevel="1"/>
    <col min="38" max="38" width="11.5546875" style="3" customWidth="1"/>
    <col min="39" max="40" width="11.5546875" style="1" customWidth="1" outlineLevel="1"/>
    <col min="41" max="42" width="11.5546875" style="3" customWidth="1" outlineLevel="1"/>
    <col min="43" max="43" width="11.5546875" style="3" customWidth="1"/>
    <col min="44" max="45" width="11.5546875" style="1" customWidth="1" outlineLevel="1"/>
    <col min="46" max="47" width="11.5546875" style="3" customWidth="1" outlineLevel="1"/>
    <col min="48" max="48" width="11.5546875" style="3" customWidth="1"/>
    <col min="49" max="16384" width="8.88671875" style="2"/>
  </cols>
  <sheetData>
    <row r="1" spans="1:48" ht="16.2" customHeight="1" x14ac:dyDescent="0.3">
      <c r="B1" s="237" t="s">
        <v>210</v>
      </c>
      <c r="D1" s="45"/>
      <c r="E1" s="149"/>
      <c r="F1" s="149"/>
      <c r="G1" s="149"/>
      <c r="H1" s="149"/>
      <c r="I1" s="216"/>
      <c r="J1" s="216"/>
      <c r="K1" s="216"/>
      <c r="L1" s="216"/>
      <c r="M1" s="162"/>
      <c r="N1" s="216"/>
      <c r="O1" s="216"/>
      <c r="P1" s="216"/>
      <c r="Q1" s="216"/>
      <c r="R1" s="195"/>
      <c r="S1" s="216"/>
      <c r="T1" s="216"/>
      <c r="U1" s="216"/>
      <c r="V1" s="216"/>
      <c r="W1" s="195"/>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row>
    <row r="2" spans="1:48" ht="5.4" customHeight="1" x14ac:dyDescent="0.3">
      <c r="B2" s="99"/>
      <c r="D2" s="45"/>
      <c r="E2" s="149"/>
      <c r="F2" s="149"/>
      <c r="G2" s="149"/>
      <c r="H2" s="149"/>
      <c r="I2" s="216"/>
      <c r="J2" s="216"/>
      <c r="K2" s="216"/>
      <c r="L2" s="216"/>
      <c r="M2" s="162"/>
      <c r="N2" s="216"/>
      <c r="O2" s="216"/>
      <c r="P2" s="216"/>
      <c r="Q2" s="216"/>
      <c r="R2" s="195"/>
      <c r="S2" s="216"/>
      <c r="T2" s="216"/>
      <c r="U2" s="216"/>
      <c r="V2" s="216"/>
      <c r="W2" s="195"/>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row>
    <row r="3" spans="1:48" ht="15.6" x14ac:dyDescent="0.3">
      <c r="B3" s="433" t="s">
        <v>211</v>
      </c>
      <c r="C3" s="434"/>
      <c r="D3" s="13" t="s">
        <v>15</v>
      </c>
      <c r="E3" s="13" t="s">
        <v>82</v>
      </c>
      <c r="F3" s="13" t="s">
        <v>84</v>
      </c>
      <c r="G3" s="13" t="s">
        <v>147</v>
      </c>
      <c r="H3" s="39" t="s">
        <v>147</v>
      </c>
      <c r="I3" s="13" t="s">
        <v>146</v>
      </c>
      <c r="J3" s="13" t="s">
        <v>145</v>
      </c>
      <c r="K3" s="13" t="s">
        <v>144</v>
      </c>
      <c r="L3" s="13" t="s">
        <v>141</v>
      </c>
      <c r="M3" s="39" t="s">
        <v>141</v>
      </c>
      <c r="N3" s="13" t="s">
        <v>148</v>
      </c>
      <c r="O3" s="13" t="s">
        <v>156</v>
      </c>
      <c r="P3" s="13" t="s">
        <v>158</v>
      </c>
      <c r="Q3" s="13" t="s">
        <v>171</v>
      </c>
      <c r="R3" s="39" t="s">
        <v>171</v>
      </c>
      <c r="S3" s="13" t="s">
        <v>187</v>
      </c>
      <c r="T3" s="13" t="s">
        <v>190</v>
      </c>
      <c r="U3" s="13" t="s">
        <v>203</v>
      </c>
      <c r="V3" s="15" t="s">
        <v>20</v>
      </c>
      <c r="W3" s="41" t="s">
        <v>20</v>
      </c>
      <c r="X3" s="15" t="s">
        <v>21</v>
      </c>
      <c r="Y3" s="15" t="s">
        <v>22</v>
      </c>
      <c r="Z3" s="15" t="s">
        <v>23</v>
      </c>
      <c r="AA3" s="15" t="s">
        <v>24</v>
      </c>
      <c r="AB3" s="41" t="s">
        <v>24</v>
      </c>
      <c r="AC3" s="15" t="s">
        <v>86</v>
      </c>
      <c r="AD3" s="15" t="s">
        <v>87</v>
      </c>
      <c r="AE3" s="15" t="s">
        <v>88</v>
      </c>
      <c r="AF3" s="15" t="s">
        <v>89</v>
      </c>
      <c r="AG3" s="41" t="s">
        <v>89</v>
      </c>
      <c r="AH3" s="15" t="s">
        <v>105</v>
      </c>
      <c r="AI3" s="15" t="s">
        <v>106</v>
      </c>
      <c r="AJ3" s="15" t="s">
        <v>107</v>
      </c>
      <c r="AK3" s="15" t="s">
        <v>108</v>
      </c>
      <c r="AL3" s="41" t="s">
        <v>108</v>
      </c>
      <c r="AM3" s="15" t="s">
        <v>160</v>
      </c>
      <c r="AN3" s="15" t="s">
        <v>161</v>
      </c>
      <c r="AO3" s="15" t="s">
        <v>162</v>
      </c>
      <c r="AP3" s="15" t="s">
        <v>163</v>
      </c>
      <c r="AQ3" s="41" t="s">
        <v>163</v>
      </c>
      <c r="AR3" s="15" t="s">
        <v>191</v>
      </c>
      <c r="AS3" s="15" t="s">
        <v>192</v>
      </c>
      <c r="AT3" s="15" t="s">
        <v>193</v>
      </c>
      <c r="AU3" s="15" t="s">
        <v>194</v>
      </c>
      <c r="AV3" s="41" t="s">
        <v>194</v>
      </c>
    </row>
    <row r="4" spans="1:48" ht="16.2" x14ac:dyDescent="0.45">
      <c r="B4" s="251" t="s">
        <v>3</v>
      </c>
      <c r="C4" s="252"/>
      <c r="D4" s="14" t="s">
        <v>19</v>
      </c>
      <c r="E4" s="14" t="s">
        <v>81</v>
      </c>
      <c r="F4" s="14" t="s">
        <v>85</v>
      </c>
      <c r="G4" s="14" t="s">
        <v>95</v>
      </c>
      <c r="H4" s="40" t="s">
        <v>96</v>
      </c>
      <c r="I4" s="14" t="s">
        <v>97</v>
      </c>
      <c r="J4" s="14" t="s">
        <v>98</v>
      </c>
      <c r="K4" s="14" t="s">
        <v>99</v>
      </c>
      <c r="L4" s="14" t="s">
        <v>142</v>
      </c>
      <c r="M4" s="40" t="s">
        <v>143</v>
      </c>
      <c r="N4" s="14" t="s">
        <v>149</v>
      </c>
      <c r="O4" s="14" t="s">
        <v>157</v>
      </c>
      <c r="P4" s="14" t="s">
        <v>159</v>
      </c>
      <c r="Q4" s="14" t="s">
        <v>172</v>
      </c>
      <c r="R4" s="40" t="s">
        <v>173</v>
      </c>
      <c r="S4" s="14" t="s">
        <v>188</v>
      </c>
      <c r="T4" s="14" t="s">
        <v>189</v>
      </c>
      <c r="U4" s="14" t="s">
        <v>204</v>
      </c>
      <c r="V4" s="12" t="s">
        <v>25</v>
      </c>
      <c r="W4" s="42" t="s">
        <v>26</v>
      </c>
      <c r="X4" s="12" t="s">
        <v>27</v>
      </c>
      <c r="Y4" s="12" t="s">
        <v>28</v>
      </c>
      <c r="Z4" s="12" t="s">
        <v>29</v>
      </c>
      <c r="AA4" s="12" t="s">
        <v>30</v>
      </c>
      <c r="AB4" s="42" t="s">
        <v>31</v>
      </c>
      <c r="AC4" s="12" t="s">
        <v>90</v>
      </c>
      <c r="AD4" s="12" t="s">
        <v>91</v>
      </c>
      <c r="AE4" s="12" t="s">
        <v>92</v>
      </c>
      <c r="AF4" s="12" t="s">
        <v>93</v>
      </c>
      <c r="AG4" s="42" t="s">
        <v>94</v>
      </c>
      <c r="AH4" s="12" t="s">
        <v>109</v>
      </c>
      <c r="AI4" s="12" t="s">
        <v>110</v>
      </c>
      <c r="AJ4" s="12" t="s">
        <v>111</v>
      </c>
      <c r="AK4" s="12" t="s">
        <v>112</v>
      </c>
      <c r="AL4" s="42" t="s">
        <v>113</v>
      </c>
      <c r="AM4" s="12" t="s">
        <v>164</v>
      </c>
      <c r="AN4" s="12" t="s">
        <v>165</v>
      </c>
      <c r="AO4" s="12" t="s">
        <v>166</v>
      </c>
      <c r="AP4" s="12" t="s">
        <v>167</v>
      </c>
      <c r="AQ4" s="42" t="s">
        <v>168</v>
      </c>
      <c r="AR4" s="12" t="s">
        <v>195</v>
      </c>
      <c r="AS4" s="12" t="s">
        <v>196</v>
      </c>
      <c r="AT4" s="12" t="s">
        <v>197</v>
      </c>
      <c r="AU4" s="12" t="s">
        <v>198</v>
      </c>
      <c r="AV4" s="42" t="s">
        <v>199</v>
      </c>
    </row>
    <row r="5" spans="1:48" ht="14.55" customHeight="1" x14ac:dyDescent="0.3">
      <c r="B5" s="433" t="s">
        <v>212</v>
      </c>
      <c r="C5" s="434"/>
      <c r="D5" s="13"/>
      <c r="E5" s="13"/>
      <c r="F5" s="13"/>
      <c r="G5" s="258"/>
      <c r="H5" s="259"/>
      <c r="I5" s="258"/>
      <c r="J5" s="13"/>
      <c r="K5" s="13"/>
      <c r="L5" s="258"/>
      <c r="M5" s="259"/>
      <c r="N5" s="258"/>
      <c r="O5" s="13"/>
      <c r="P5" s="13"/>
      <c r="Q5" s="258"/>
      <c r="R5" s="259"/>
      <c r="S5" s="258"/>
      <c r="T5" s="13"/>
      <c r="U5" s="13"/>
      <c r="V5" s="15"/>
      <c r="W5" s="41"/>
      <c r="X5" s="15"/>
      <c r="Y5" s="15"/>
      <c r="Z5" s="15"/>
      <c r="AA5" s="15"/>
      <c r="AB5" s="41"/>
      <c r="AC5" s="15"/>
      <c r="AD5" s="15"/>
      <c r="AE5" s="15"/>
      <c r="AF5" s="15"/>
      <c r="AG5" s="41"/>
      <c r="AH5" s="15"/>
      <c r="AI5" s="15"/>
      <c r="AJ5" s="15"/>
      <c r="AK5" s="15"/>
      <c r="AL5" s="41"/>
      <c r="AM5" s="15"/>
      <c r="AN5" s="15"/>
      <c r="AO5" s="15"/>
      <c r="AP5" s="15"/>
      <c r="AQ5" s="41"/>
      <c r="AR5" s="15"/>
      <c r="AS5" s="15"/>
      <c r="AT5" s="15"/>
      <c r="AU5" s="15"/>
      <c r="AV5" s="41"/>
    </row>
    <row r="6" spans="1:48" ht="14.55" customHeight="1" outlineLevel="1" x14ac:dyDescent="0.3">
      <c r="B6" s="435" t="s">
        <v>213</v>
      </c>
      <c r="C6" s="436"/>
      <c r="D6" s="16">
        <f>'CFS (Bull-Case)'!D41</f>
        <v>4761.6000000000004</v>
      </c>
      <c r="E6" s="16">
        <f>'CFS (Bull-Case)'!E41</f>
        <v>2055.1000000000004</v>
      </c>
      <c r="F6" s="16">
        <f>'CFS (Bull-Case)'!F41</f>
        <v>4763.4000000000015</v>
      </c>
      <c r="G6" s="101">
        <f>'CFS (Bull-Case)'!G41</f>
        <v>2686.6000000000022</v>
      </c>
      <c r="H6" s="17">
        <f>G6</f>
        <v>2686.6000000000022</v>
      </c>
      <c r="I6" s="16">
        <f>'CFS (Bull-Case)'!I41</f>
        <v>3040.5000000000036</v>
      </c>
      <c r="J6" s="16">
        <f>'CFS (Bull-Case)'!J41</f>
        <v>2572.3000000000029</v>
      </c>
      <c r="K6" s="16">
        <f>'CFS (Bull-Case)'!K41</f>
        <v>3965.9000000000042</v>
      </c>
      <c r="L6" s="101">
        <f>'CFS (Bull-Case)'!L41</f>
        <v>4350.900000000006</v>
      </c>
      <c r="M6" s="17">
        <f>L6</f>
        <v>4350.900000000006</v>
      </c>
      <c r="N6" s="16">
        <f>'CFS (Bull-Case)'!N41</f>
        <v>5028.00000000001</v>
      </c>
      <c r="O6" s="16">
        <f>'CFS (Bull-Case)'!O41</f>
        <v>3880.6000000000104</v>
      </c>
      <c r="P6" s="16">
        <f>'CFS (Bull-Case)'!P41</f>
        <v>4753.1000000000095</v>
      </c>
      <c r="Q6" s="16">
        <f>'CFS (Bull-Case)'!Q41</f>
        <v>6455.7000000000089</v>
      </c>
      <c r="R6" s="17">
        <f>Q6</f>
        <v>6455.7000000000089</v>
      </c>
      <c r="S6" s="16">
        <f>'CFS (Bull-Case)'!S41</f>
        <v>3969.4000000000078</v>
      </c>
      <c r="T6" s="16">
        <f>'CFS (Bull-Case)'!T41</f>
        <v>3913.4000000000083</v>
      </c>
      <c r="U6" s="16">
        <f>'CFS (Bull-Case)'!U41</f>
        <v>3177.5000000000073</v>
      </c>
      <c r="V6" s="16">
        <f>'CFS (Bull-Case)'!V41</f>
        <v>3252.6993448393941</v>
      </c>
      <c r="W6" s="17">
        <f>V6</f>
        <v>3252.6993448393941</v>
      </c>
      <c r="X6" s="16">
        <f>'CFS (Bull-Case)'!X41</f>
        <v>3664.0006119048612</v>
      </c>
      <c r="Y6" s="16">
        <f>'CFS (Bull-Case)'!Y41</f>
        <v>3170.8031749752136</v>
      </c>
      <c r="Z6" s="16">
        <f>'CFS (Bull-Case)'!Z41</f>
        <v>2942.1708776737896</v>
      </c>
      <c r="AA6" s="16">
        <f>'CFS (Bull-Case)'!AA41</f>
        <v>3559.8358315412133</v>
      </c>
      <c r="AB6" s="17">
        <f>AA6</f>
        <v>3559.8358315412133</v>
      </c>
      <c r="AC6" s="16">
        <f>'CFS (Bull-Case)'!AC41</f>
        <v>4381.9068848279694</v>
      </c>
      <c r="AD6" s="16">
        <f>'CFS (Bull-Case)'!AD41</f>
        <v>4176.06493846377</v>
      </c>
      <c r="AE6" s="16">
        <f>'CFS (Bull-Case)'!AE41</f>
        <v>4252.7609910544625</v>
      </c>
      <c r="AF6" s="16">
        <f>'CFS (Bull-Case)'!AF41</f>
        <v>4846.7272046188173</v>
      </c>
      <c r="AG6" s="17">
        <f>AF6</f>
        <v>4846.7272046188173</v>
      </c>
      <c r="AH6" s="16">
        <f>'CFS (Bull-Case)'!AH41</f>
        <v>5778.9023093146425</v>
      </c>
      <c r="AI6" s="16">
        <f>'CFS (Bull-Case)'!AI41</f>
        <v>5604.0231588624001</v>
      </c>
      <c r="AJ6" s="16">
        <f>'CFS (Bull-Case)'!AJ41</f>
        <v>6037.0354096183837</v>
      </c>
      <c r="AK6" s="16">
        <f>'CFS (Bull-Case)'!AK41</f>
        <v>3320.1784764724407</v>
      </c>
      <c r="AL6" s="17">
        <f>AK6</f>
        <v>3320.1784764724407</v>
      </c>
      <c r="AM6" s="16">
        <f>'CFS (Bull-Case)'!AM41</f>
        <v>4280.4284052354888</v>
      </c>
      <c r="AN6" s="16">
        <f>'CFS (Bull-Case)'!AN41</f>
        <v>3959.6474962024499</v>
      </c>
      <c r="AO6" s="16">
        <f>'CFS (Bull-Case)'!AO41</f>
        <v>4077.8614753641273</v>
      </c>
      <c r="AP6" s="16">
        <f>'CFS (Bull-Case)'!AP41</f>
        <v>4879.0131773596668</v>
      </c>
      <c r="AQ6" s="17">
        <f>AP6</f>
        <v>4879.0131773596668</v>
      </c>
      <c r="AR6" s="16">
        <f>'CFS (Bull-Case)'!AR41</f>
        <v>6033.9518276309227</v>
      </c>
      <c r="AS6" s="16">
        <f>'CFS (Bull-Case)'!AS41</f>
        <v>5786.9344059346204</v>
      </c>
      <c r="AT6" s="16">
        <f>'CFS (Bull-Case)'!AT41</f>
        <v>6027.4868568917036</v>
      </c>
      <c r="AU6" s="16">
        <f>'CFS (Bull-Case)'!AU41</f>
        <v>6907.4952354029037</v>
      </c>
      <c r="AV6" s="17">
        <f>AU6</f>
        <v>6907.4952354029037</v>
      </c>
    </row>
    <row r="7" spans="1:48" ht="14.55" customHeight="1" outlineLevel="1" x14ac:dyDescent="0.3">
      <c r="A7" s="161"/>
      <c r="B7" s="200" t="s">
        <v>214</v>
      </c>
      <c r="C7" s="201"/>
      <c r="D7" s="16">
        <v>230.2</v>
      </c>
      <c r="E7" s="16">
        <v>76.599999999999994</v>
      </c>
      <c r="F7" s="16">
        <v>72.099999999999994</v>
      </c>
      <c r="G7" s="16">
        <v>70.5</v>
      </c>
      <c r="H7" s="17">
        <f>+G7</f>
        <v>70.5</v>
      </c>
      <c r="I7" s="16">
        <v>68.400000000000006</v>
      </c>
      <c r="J7" s="16">
        <v>52.9</v>
      </c>
      <c r="K7" s="16">
        <v>229.9</v>
      </c>
      <c r="L7" s="16">
        <v>281.2</v>
      </c>
      <c r="M7" s="17">
        <f>+L7</f>
        <v>281.2</v>
      </c>
      <c r="N7" s="16">
        <v>235.5</v>
      </c>
      <c r="O7" s="16">
        <v>123</v>
      </c>
      <c r="P7" s="16">
        <v>153.6</v>
      </c>
      <c r="Q7" s="101">
        <v>162.19999999999999</v>
      </c>
      <c r="R7" s="17">
        <f>+Q7</f>
        <v>162.19999999999999</v>
      </c>
      <c r="S7" s="16">
        <v>87.4</v>
      </c>
      <c r="T7" s="16">
        <v>82.1</v>
      </c>
      <c r="U7" s="16">
        <v>76.900000000000006</v>
      </c>
      <c r="V7" s="16">
        <f>+V53*V42*V54</f>
        <v>95.500575647687469</v>
      </c>
      <c r="W7" s="17">
        <f>+V7</f>
        <v>95.500575647687469</v>
      </c>
      <c r="X7" s="16">
        <f>+X53*X42*X54</f>
        <v>86.324228651909422</v>
      </c>
      <c r="Y7" s="16">
        <f>+Y53*Y42*Y54</f>
        <v>85.683425866102311</v>
      </c>
      <c r="Z7" s="16">
        <f>+Z53*Z42*Z54</f>
        <v>88.844102751659278</v>
      </c>
      <c r="AA7" s="16">
        <f>+AA53*AA42*AA54</f>
        <v>92.024135867853005</v>
      </c>
      <c r="AB7" s="17">
        <f>+AA7</f>
        <v>92.024135867853005</v>
      </c>
      <c r="AC7" s="16">
        <f>+AC53*AC42*AC54</f>
        <v>93.434454809423016</v>
      </c>
      <c r="AD7" s="16">
        <f>+AD53*AD42*AD54</f>
        <v>93.672408886049766</v>
      </c>
      <c r="AE7" s="16">
        <f>+AE53*AE42*AE54</f>
        <v>96.240230860734826</v>
      </c>
      <c r="AF7" s="16">
        <f>+AF53*AF42*AF54</f>
        <v>97.789667493215973</v>
      </c>
      <c r="AG7" s="17">
        <f>+AF7</f>
        <v>97.789667493215973</v>
      </c>
      <c r="AH7" s="16">
        <f>+AH53*AH42*AH54</f>
        <v>101.46757311482062</v>
      </c>
      <c r="AI7" s="16">
        <f>+AI53*AI42*AI54</f>
        <v>101.76061462420252</v>
      </c>
      <c r="AJ7" s="16">
        <f>+AJ53*AJ42*AJ54</f>
        <v>105.61687649068691</v>
      </c>
      <c r="AK7" s="16">
        <f>+AK53*AK42*AK54</f>
        <v>96.098944464598063</v>
      </c>
      <c r="AL7" s="17">
        <f>+AK7</f>
        <v>96.098944464598063</v>
      </c>
      <c r="AM7" s="16">
        <f>+AM53*AM42*AM54</f>
        <v>99.893687637295102</v>
      </c>
      <c r="AN7" s="16">
        <f>+AN53*AN42*AN54</f>
        <v>99.615869392288147</v>
      </c>
      <c r="AO7" s="16">
        <f>+AO53*AO42*AO54</f>
        <v>102.60615921347033</v>
      </c>
      <c r="AP7" s="16">
        <f>+AP53*AP42*AP54</f>
        <v>104.07741801327937</v>
      </c>
      <c r="AQ7" s="17">
        <f>+AP7</f>
        <v>104.07741801327937</v>
      </c>
      <c r="AR7" s="16">
        <f>+AR53*AR42*AR54</f>
        <v>108.37896656507291</v>
      </c>
      <c r="AS7" s="16">
        <f>+AS53*AS42*AS54</f>
        <v>108.28471558219783</v>
      </c>
      <c r="AT7" s="16">
        <f>+AT53*AT42*AT54</f>
        <v>111.61716298765538</v>
      </c>
      <c r="AU7" s="16">
        <f>+AU53*AU42*AU54</f>
        <v>113.41149357947887</v>
      </c>
      <c r="AV7" s="17">
        <f>+AU7</f>
        <v>113.41149357947887</v>
      </c>
    </row>
    <row r="8" spans="1:48" s="23" customFormat="1" ht="14.55" customHeight="1" outlineLevel="1" x14ac:dyDescent="0.3">
      <c r="A8" s="161"/>
      <c r="B8" s="435" t="s">
        <v>215</v>
      </c>
      <c r="C8" s="436"/>
      <c r="D8" s="16">
        <v>721.4</v>
      </c>
      <c r="E8" s="16">
        <v>703.6</v>
      </c>
      <c r="F8" s="16">
        <v>790.6</v>
      </c>
      <c r="G8" s="16">
        <v>879</v>
      </c>
      <c r="H8" s="17">
        <f>G8</f>
        <v>879</v>
      </c>
      <c r="I8" s="16">
        <v>908.1</v>
      </c>
      <c r="J8" s="16">
        <v>941</v>
      </c>
      <c r="K8" s="16">
        <v>881.1</v>
      </c>
      <c r="L8" s="16">
        <v>883.4</v>
      </c>
      <c r="M8" s="17">
        <f>L8</f>
        <v>883.4</v>
      </c>
      <c r="N8" s="16">
        <v>888</v>
      </c>
      <c r="O8" s="16">
        <v>880.2</v>
      </c>
      <c r="P8" s="16">
        <v>911.2</v>
      </c>
      <c r="Q8" s="101">
        <v>940</v>
      </c>
      <c r="R8" s="17">
        <f>Q8</f>
        <v>940</v>
      </c>
      <c r="S8" s="16">
        <v>1031.0999999999999</v>
      </c>
      <c r="T8" s="16">
        <v>1001.9</v>
      </c>
      <c r="U8" s="16">
        <v>1146.0999999999999</v>
      </c>
      <c r="V8" s="16">
        <f>'IS (Bull-Case)'!V8/V47</f>
        <v>1064.1520072753249</v>
      </c>
      <c r="W8" s="17">
        <f>V8</f>
        <v>1064.1520072753249</v>
      </c>
      <c r="X8" s="16">
        <f>'IS (Bull-Case)'!X8/X47</f>
        <v>1131.1802143448135</v>
      </c>
      <c r="Y8" s="16">
        <f>'IS (Bull-Case)'!Y8/Y47</f>
        <v>1179.105208909466</v>
      </c>
      <c r="Z8" s="16">
        <f>'IS (Bull-Case)'!Z8/Z47</f>
        <v>1383.6548384034602</v>
      </c>
      <c r="AA8" s="16">
        <f>'IS (Bull-Case)'!AA8/AA47</f>
        <v>1212.7736130430587</v>
      </c>
      <c r="AB8" s="17">
        <f>AA8</f>
        <v>1212.7736130430587</v>
      </c>
      <c r="AC8" s="16">
        <f>'IS (Bull-Case)'!AC8/AC47</f>
        <v>1286.863632539478</v>
      </c>
      <c r="AD8" s="16">
        <f>'IS (Bull-Case)'!AD8/AD47</f>
        <v>1258.3566493753576</v>
      </c>
      <c r="AE8" s="16">
        <f>'IS (Bull-Case)'!AE8/AE47</f>
        <v>1400.4310215377288</v>
      </c>
      <c r="AF8" s="16">
        <f>'IS (Bull-Case)'!AF8/AF47</f>
        <v>1303.3144699641498</v>
      </c>
      <c r="AG8" s="17">
        <f>AF8</f>
        <v>1303.3144699641498</v>
      </c>
      <c r="AH8" s="16">
        <f>'IS (Bull-Case)'!AH8/AH47</f>
        <v>1441.6313450907717</v>
      </c>
      <c r="AI8" s="16">
        <f>'IS (Bull-Case)'!AI8/AI47</f>
        <v>1423.0682000195945</v>
      </c>
      <c r="AJ8" s="16">
        <f>'IS (Bull-Case)'!AJ8/AJ47</f>
        <v>1642.0004839194298</v>
      </c>
      <c r="AK8" s="16">
        <f>'IS (Bull-Case)'!AK8/AK47</f>
        <v>1505.2807498535922</v>
      </c>
      <c r="AL8" s="17">
        <f>AK8</f>
        <v>1505.2807498535922</v>
      </c>
      <c r="AM8" s="16">
        <f>'IS (Bull-Case)'!AM8/AM47</f>
        <v>1588.929479205292</v>
      </c>
      <c r="AN8" s="16">
        <f>'IS (Bull-Case)'!AN8/AN47</f>
        <v>1571.1048926280682</v>
      </c>
      <c r="AO8" s="16">
        <f>'IS (Bull-Case)'!AO8/AO47</f>
        <v>1795.0017039060156</v>
      </c>
      <c r="AP8" s="16">
        <f>'IS (Bull-Case)'!AP8/AP47</f>
        <v>1628.6905092043812</v>
      </c>
      <c r="AQ8" s="17">
        <f>AP8</f>
        <v>1628.6905092043812</v>
      </c>
      <c r="AR8" s="16">
        <f>'IS (Bull-Case)'!AR8/AR47</f>
        <v>1692.4803892224895</v>
      </c>
      <c r="AS8" s="16">
        <f>'IS (Bull-Case)'!AS8/AS47</f>
        <v>1659.3320484004655</v>
      </c>
      <c r="AT8" s="16">
        <f>'IS (Bull-Case)'!AT8/AT47</f>
        <v>1880.6519777370811</v>
      </c>
      <c r="AU8" s="16">
        <f>'IS (Bull-Case)'!AU8/AU47</f>
        <v>1725.1159493370171</v>
      </c>
      <c r="AV8" s="17">
        <f>AU8</f>
        <v>1725.1159493370171</v>
      </c>
    </row>
    <row r="9" spans="1:48" s="23" customFormat="1" ht="14.55" customHeight="1" outlineLevel="1" x14ac:dyDescent="0.3">
      <c r="A9" s="161"/>
      <c r="B9" s="200" t="s">
        <v>216</v>
      </c>
      <c r="C9" s="201"/>
      <c r="D9" s="16">
        <v>1354.6</v>
      </c>
      <c r="E9" s="16">
        <v>1443</v>
      </c>
      <c r="F9" s="16">
        <v>1517.2</v>
      </c>
      <c r="G9" s="16">
        <v>1529.4</v>
      </c>
      <c r="H9" s="17">
        <f>G9</f>
        <v>1529.4</v>
      </c>
      <c r="I9" s="16">
        <v>1408.7</v>
      </c>
      <c r="J9" s="16">
        <v>1492.2</v>
      </c>
      <c r="K9" s="16">
        <v>1583.8</v>
      </c>
      <c r="L9" s="16">
        <v>1551.4</v>
      </c>
      <c r="M9" s="17">
        <f>L9</f>
        <v>1551.4</v>
      </c>
      <c r="N9" s="16">
        <v>1471.5</v>
      </c>
      <c r="O9" s="16">
        <v>1503.6</v>
      </c>
      <c r="P9" s="16">
        <v>1548.2</v>
      </c>
      <c r="Q9" s="101">
        <v>1603.9</v>
      </c>
      <c r="R9" s="17">
        <f>Q9</f>
        <v>1603.9</v>
      </c>
      <c r="S9" s="16">
        <v>1637.1</v>
      </c>
      <c r="T9" s="16">
        <v>1920</v>
      </c>
      <c r="U9" s="16">
        <v>2132.9</v>
      </c>
      <c r="V9" s="16">
        <f>'IS (Bull-Case)'!V9/V49</f>
        <v>1902.7231489483838</v>
      </c>
      <c r="W9" s="17">
        <f>V9</f>
        <v>1902.7231489483838</v>
      </c>
      <c r="X9" s="16">
        <f>'IS (Bull-Case)'!X9/X49</f>
        <v>1868.7090450577787</v>
      </c>
      <c r="Y9" s="16">
        <f>'IS (Bull-Case)'!Y9/Y49</f>
        <v>2068.6167136325621</v>
      </c>
      <c r="Z9" s="16">
        <f>'IS (Bull-Case)'!Z9/Z49</f>
        <v>2491.0802779288201</v>
      </c>
      <c r="AA9" s="16">
        <f>'IS (Bull-Case)'!AA9/AA49</f>
        <v>2107.8949495276802</v>
      </c>
      <c r="AB9" s="17">
        <f>AA9</f>
        <v>2107.8949495276802</v>
      </c>
      <c r="AC9" s="16">
        <f>'IS (Bull-Case)'!AC9/AC49</f>
        <v>2072.7346760377623</v>
      </c>
      <c r="AD9" s="16">
        <f>'IS (Bull-Case)'!AD9/AD49</f>
        <v>2253.8645198166123</v>
      </c>
      <c r="AE9" s="16">
        <f>'IS (Bull-Case)'!AE9/AE49</f>
        <v>2549.5757831243104</v>
      </c>
      <c r="AF9" s="16">
        <f>'IS (Bull-Case)'!AF9/AF49</f>
        <v>2308.5498999524348</v>
      </c>
      <c r="AG9" s="17">
        <f>AF9</f>
        <v>2308.5498999524348</v>
      </c>
      <c r="AH9" s="16">
        <f>'IS (Bull-Case)'!AH9/AH49</f>
        <v>2265.556758008755</v>
      </c>
      <c r="AI9" s="16">
        <f>'IS (Bull-Case)'!AI9/AI49</f>
        <v>2518.892984234601</v>
      </c>
      <c r="AJ9" s="16">
        <f>'IS (Bull-Case)'!AJ9/AJ49</f>
        <v>2928.8437433819427</v>
      </c>
      <c r="AK9" s="16">
        <f>'IS (Bull-Case)'!AK9/AK49</f>
        <v>2635.9299222689406</v>
      </c>
      <c r="AL9" s="17">
        <f>AK9</f>
        <v>2635.9299222689406</v>
      </c>
      <c r="AM9" s="16">
        <f>'IS (Bull-Case)'!AM9/AM49</f>
        <v>2505.4505588653719</v>
      </c>
      <c r="AN9" s="16">
        <f>'IS (Bull-Case)'!AN9/AN49</f>
        <v>2735.3154882751573</v>
      </c>
      <c r="AO9" s="16">
        <f>'IS (Bull-Case)'!AO9/AO49</f>
        <v>3178.9105112154762</v>
      </c>
      <c r="AP9" s="16">
        <f>'IS (Bull-Case)'!AP9/AP49</f>
        <v>2848.0034879134832</v>
      </c>
      <c r="AQ9" s="17">
        <f>AP9</f>
        <v>2848.0034879134832</v>
      </c>
      <c r="AR9" s="16">
        <f>'IS (Bull-Case)'!AR9/AR49</f>
        <v>2669.348957279301</v>
      </c>
      <c r="AS9" s="16">
        <f>'IS (Bull-Case)'!AS9/AS49</f>
        <v>2911.390046431457</v>
      </c>
      <c r="AT9" s="16">
        <f>'IS (Bull-Case)'!AT9/AT49</f>
        <v>3340.2547922297331</v>
      </c>
      <c r="AU9" s="16">
        <f>'IS (Bull-Case)'!AU9/AU49</f>
        <v>3013.219686875399</v>
      </c>
      <c r="AV9" s="17">
        <f>AU9</f>
        <v>3013.219686875399</v>
      </c>
    </row>
    <row r="10" spans="1:48" ht="16.2" customHeight="1" outlineLevel="1" x14ac:dyDescent="0.45">
      <c r="A10" s="161"/>
      <c r="B10" s="435" t="s">
        <v>217</v>
      </c>
      <c r="C10" s="436"/>
      <c r="D10" s="260">
        <v>608.5</v>
      </c>
      <c r="E10" s="112">
        <v>674</v>
      </c>
      <c r="F10" s="112">
        <v>591.6</v>
      </c>
      <c r="G10" s="112">
        <v>488.2</v>
      </c>
      <c r="H10" s="261">
        <f>G10</f>
        <v>488.2</v>
      </c>
      <c r="I10" s="112">
        <v>474</v>
      </c>
      <c r="J10" s="112">
        <v>691.5</v>
      </c>
      <c r="K10" s="112">
        <v>920.3</v>
      </c>
      <c r="L10" s="112">
        <v>739.5</v>
      </c>
      <c r="M10" s="261">
        <f>L10</f>
        <v>739.5</v>
      </c>
      <c r="N10" s="112">
        <v>734.4</v>
      </c>
      <c r="O10" s="112">
        <v>592</v>
      </c>
      <c r="P10" s="112">
        <v>565.6</v>
      </c>
      <c r="Q10" s="112">
        <v>594.6</v>
      </c>
      <c r="R10" s="261">
        <f>Q10</f>
        <v>594.6</v>
      </c>
      <c r="S10" s="112">
        <v>530.1</v>
      </c>
      <c r="T10" s="112">
        <v>623.70000000000005</v>
      </c>
      <c r="U10" s="112">
        <v>534.1</v>
      </c>
      <c r="V10" s="32">
        <f>U10*1.01</f>
        <v>539.44100000000003</v>
      </c>
      <c r="W10" s="261">
        <f>V10</f>
        <v>539.44100000000003</v>
      </c>
      <c r="X10" s="32">
        <f>V10*1.01</f>
        <v>544.83541000000002</v>
      </c>
      <c r="Y10" s="32">
        <f>X10*1.01</f>
        <v>550.28376409999998</v>
      </c>
      <c r="Z10" s="32">
        <f>Y10*1.01</f>
        <v>555.78660174100003</v>
      </c>
      <c r="AA10" s="32">
        <f>Z10*1.01</f>
        <v>561.34446775841002</v>
      </c>
      <c r="AB10" s="261">
        <f>AA10</f>
        <v>561.34446775841002</v>
      </c>
      <c r="AC10" s="32">
        <f>AA10*1.01</f>
        <v>566.9579124359941</v>
      </c>
      <c r="AD10" s="32">
        <f>AC10*1.01</f>
        <v>572.62749156035409</v>
      </c>
      <c r="AE10" s="32">
        <f>AD10*1.01</f>
        <v>578.35376647595763</v>
      </c>
      <c r="AF10" s="32">
        <f>AE10*1.01</f>
        <v>584.13730414071722</v>
      </c>
      <c r="AG10" s="261">
        <f>AF10</f>
        <v>584.13730414071722</v>
      </c>
      <c r="AH10" s="32">
        <f>AF10*1.01</f>
        <v>589.97867718212444</v>
      </c>
      <c r="AI10" s="32">
        <f>AH10*1.01</f>
        <v>595.8784639539457</v>
      </c>
      <c r="AJ10" s="32">
        <f>AI10*1.01</f>
        <v>601.83724859348513</v>
      </c>
      <c r="AK10" s="32">
        <f>AJ10*1.01</f>
        <v>607.85562107941996</v>
      </c>
      <c r="AL10" s="261">
        <f>AK10</f>
        <v>607.85562107941996</v>
      </c>
      <c r="AM10" s="32">
        <f>AK10*1.01</f>
        <v>613.93417729021417</v>
      </c>
      <c r="AN10" s="32">
        <f>AM10*1.01</f>
        <v>620.07351906311635</v>
      </c>
      <c r="AO10" s="32">
        <f>AN10*1.01</f>
        <v>626.27425425374747</v>
      </c>
      <c r="AP10" s="32">
        <f>AO10*1.01</f>
        <v>632.53699679628494</v>
      </c>
      <c r="AQ10" s="261">
        <f>AP10</f>
        <v>632.53699679628494</v>
      </c>
      <c r="AR10" s="32">
        <f>AP10*1.01</f>
        <v>638.86236676424778</v>
      </c>
      <c r="AS10" s="32">
        <f>AR10*1.01</f>
        <v>645.25099043189027</v>
      </c>
      <c r="AT10" s="32">
        <f>AS10*1.01</f>
        <v>651.70350033620923</v>
      </c>
      <c r="AU10" s="32">
        <f>AT10*1.01</f>
        <v>658.22053533957137</v>
      </c>
      <c r="AV10" s="261">
        <f>AU10</f>
        <v>658.22053533957137</v>
      </c>
    </row>
    <row r="11" spans="1:48" ht="14.55" customHeight="1" outlineLevel="1" x14ac:dyDescent="0.3">
      <c r="A11" s="161"/>
      <c r="B11" s="205" t="s">
        <v>218</v>
      </c>
      <c r="C11" s="206"/>
      <c r="D11" s="21">
        <f t="shared" ref="D11:AV11" si="0">SUM(D6:D10)</f>
        <v>7676.2999999999993</v>
      </c>
      <c r="E11" s="21">
        <f t="shared" si="0"/>
        <v>4952.3</v>
      </c>
      <c r="F11" s="21">
        <f t="shared" si="0"/>
        <v>7734.9000000000024</v>
      </c>
      <c r="G11" s="21">
        <f t="shared" si="0"/>
        <v>5653.7000000000016</v>
      </c>
      <c r="H11" s="22">
        <f t="shared" si="0"/>
        <v>5653.7000000000016</v>
      </c>
      <c r="I11" s="21">
        <f t="shared" si="0"/>
        <v>5899.7000000000035</v>
      </c>
      <c r="J11" s="21">
        <f t="shared" si="0"/>
        <v>5749.9000000000033</v>
      </c>
      <c r="K11" s="21">
        <f t="shared" si="0"/>
        <v>7581.0000000000045</v>
      </c>
      <c r="L11" s="116">
        <f t="shared" si="0"/>
        <v>7806.4000000000051</v>
      </c>
      <c r="M11" s="22">
        <f t="shared" si="0"/>
        <v>7806.4000000000051</v>
      </c>
      <c r="N11" s="21">
        <f t="shared" si="0"/>
        <v>8357.4000000000106</v>
      </c>
      <c r="O11" s="21">
        <f t="shared" si="0"/>
        <v>6979.4000000000106</v>
      </c>
      <c r="P11" s="21">
        <f t="shared" si="0"/>
        <v>7931.7000000000098</v>
      </c>
      <c r="Q11" s="116">
        <f t="shared" si="0"/>
        <v>9756.4000000000087</v>
      </c>
      <c r="R11" s="22">
        <f t="shared" si="0"/>
        <v>9756.4000000000087</v>
      </c>
      <c r="S11" s="21">
        <f t="shared" si="0"/>
        <v>7255.1000000000076</v>
      </c>
      <c r="T11" s="21">
        <f t="shared" si="0"/>
        <v>7541.1000000000076</v>
      </c>
      <c r="U11" s="21">
        <f t="shared" si="0"/>
        <v>7067.5000000000073</v>
      </c>
      <c r="V11" s="21">
        <f t="shared" si="0"/>
        <v>6854.51607671079</v>
      </c>
      <c r="W11" s="22">
        <f t="shared" si="0"/>
        <v>6854.51607671079</v>
      </c>
      <c r="X11" s="21">
        <f t="shared" si="0"/>
        <v>7295.0495099593627</v>
      </c>
      <c r="Y11" s="21">
        <f t="shared" si="0"/>
        <v>7054.4922874833437</v>
      </c>
      <c r="Z11" s="21">
        <f t="shared" si="0"/>
        <v>7461.5366984987286</v>
      </c>
      <c r="AA11" s="21">
        <f t="shared" si="0"/>
        <v>7533.8729977382154</v>
      </c>
      <c r="AB11" s="22">
        <f t="shared" si="0"/>
        <v>7533.8729977382154</v>
      </c>
      <c r="AC11" s="21">
        <f t="shared" si="0"/>
        <v>8401.8975606506265</v>
      </c>
      <c r="AD11" s="21">
        <f t="shared" si="0"/>
        <v>8354.5860081021438</v>
      </c>
      <c r="AE11" s="21">
        <f t="shared" si="0"/>
        <v>8877.3617930531946</v>
      </c>
      <c r="AF11" s="21">
        <f t="shared" si="0"/>
        <v>9140.5185461693345</v>
      </c>
      <c r="AG11" s="22">
        <f t="shared" si="0"/>
        <v>9140.5185461693345</v>
      </c>
      <c r="AH11" s="21">
        <f t="shared" si="0"/>
        <v>10177.536662711114</v>
      </c>
      <c r="AI11" s="21">
        <f t="shared" si="0"/>
        <v>10243.623421694745</v>
      </c>
      <c r="AJ11" s="21">
        <f t="shared" si="0"/>
        <v>11315.333762003927</v>
      </c>
      <c r="AK11" s="21">
        <f t="shared" si="0"/>
        <v>8165.3437141389913</v>
      </c>
      <c r="AL11" s="22">
        <f t="shared" si="0"/>
        <v>8165.3437141389913</v>
      </c>
      <c r="AM11" s="21">
        <f t="shared" si="0"/>
        <v>9088.6363082336611</v>
      </c>
      <c r="AN11" s="21">
        <f t="shared" si="0"/>
        <v>8985.7572655610802</v>
      </c>
      <c r="AO11" s="21">
        <f t="shared" si="0"/>
        <v>9780.6541039528365</v>
      </c>
      <c r="AP11" s="21">
        <f t="shared" si="0"/>
        <v>10092.321589287096</v>
      </c>
      <c r="AQ11" s="22">
        <f t="shared" si="0"/>
        <v>10092.321589287096</v>
      </c>
      <c r="AR11" s="21">
        <f t="shared" si="0"/>
        <v>11143.022507462034</v>
      </c>
      <c r="AS11" s="21">
        <f t="shared" si="0"/>
        <v>11111.192206780632</v>
      </c>
      <c r="AT11" s="21">
        <f t="shared" si="0"/>
        <v>12011.714290182383</v>
      </c>
      <c r="AU11" s="21">
        <f t="shared" si="0"/>
        <v>12417.462900534369</v>
      </c>
      <c r="AV11" s="22">
        <f t="shared" si="0"/>
        <v>12417.462900534369</v>
      </c>
    </row>
    <row r="12" spans="1:48" ht="14.55" customHeight="1" outlineLevel="1" x14ac:dyDescent="0.3">
      <c r="A12" s="161"/>
      <c r="B12" s="200" t="s">
        <v>219</v>
      </c>
      <c r="C12" s="207"/>
      <c r="D12" s="16">
        <v>265</v>
      </c>
      <c r="E12" s="16">
        <v>251.9</v>
      </c>
      <c r="F12" s="16">
        <v>222.6</v>
      </c>
      <c r="G12" s="16">
        <v>220</v>
      </c>
      <c r="H12" s="17">
        <f t="shared" ref="H12:H18" si="1">+G12</f>
        <v>220</v>
      </c>
      <c r="I12" s="16">
        <v>199.8</v>
      </c>
      <c r="J12" s="16">
        <v>198.8</v>
      </c>
      <c r="K12" s="16">
        <v>223.4</v>
      </c>
      <c r="L12" s="101">
        <v>206.1</v>
      </c>
      <c r="M12" s="17">
        <f>+L12</f>
        <v>206.1</v>
      </c>
      <c r="N12" s="16">
        <v>190.9</v>
      </c>
      <c r="O12" s="16">
        <v>284.8</v>
      </c>
      <c r="P12" s="16">
        <v>285.89999999999998</v>
      </c>
      <c r="Q12" s="101">
        <v>281.7</v>
      </c>
      <c r="R12" s="17">
        <f>+Q12</f>
        <v>281.7</v>
      </c>
      <c r="S12" s="16">
        <v>299.60000000000002</v>
      </c>
      <c r="T12" s="16">
        <v>285.60000000000002</v>
      </c>
      <c r="U12" s="16">
        <v>292.5</v>
      </c>
      <c r="V12" s="16">
        <f>+V53*V42*(1-V54)</f>
        <v>278.02542371047741</v>
      </c>
      <c r="W12" s="17">
        <f>+V12</f>
        <v>278.02542371047741</v>
      </c>
      <c r="X12" s="16">
        <f>+X53*X42*(1-X54)</f>
        <v>291.88927728947533</v>
      </c>
      <c r="Y12" s="16">
        <f>+Y53*Y42*(1-Y54)</f>
        <v>288.7373209412782</v>
      </c>
      <c r="Z12" s="16">
        <f>+Z53*Z42*(1-Z54)</f>
        <v>297.04315239605864</v>
      </c>
      <c r="AA12" s="16">
        <f>+AA53*AA42*(1-AA54)</f>
        <v>298.32580262760428</v>
      </c>
      <c r="AB12" s="17">
        <f>+AA12</f>
        <v>298.32580262760428</v>
      </c>
      <c r="AC12" s="16">
        <f>+AC53*AC42*(1-AC54)</f>
        <v>311.45306652107581</v>
      </c>
      <c r="AD12" s="16">
        <f>+AD53*AD42*(1-AD54)</f>
        <v>311.13918499105364</v>
      </c>
      <c r="AE12" s="16">
        <f>+AE53*AE42*(1-AE54)</f>
        <v>318.52349877555048</v>
      </c>
      <c r="AF12" s="16">
        <f>+AF53*AF42*(1-AF54)</f>
        <v>322.8345452932241</v>
      </c>
      <c r="AG12" s="17">
        <f>+AF12</f>
        <v>322.8345452932241</v>
      </c>
      <c r="AH12" s="16">
        <f>+AH53*AH42*(1-AH54)</f>
        <v>336.51220770550538</v>
      </c>
      <c r="AI12" s="16">
        <f>+AI53*AI42*(1-AI54)</f>
        <v>337.05534237772565</v>
      </c>
      <c r="AJ12" s="16">
        <f>+AJ53*AJ42*(1-AJ54)</f>
        <v>349.58252848363128</v>
      </c>
      <c r="AK12" s="16">
        <f>+AK53*AK42*(1-AK54)</f>
        <v>318.08479672733853</v>
      </c>
      <c r="AL12" s="17">
        <f>+AK12</f>
        <v>318.08479672733853</v>
      </c>
      <c r="AM12" s="16">
        <f>+AM53*AM42*(1-AM54)</f>
        <v>330.86201123431499</v>
      </c>
      <c r="AN12" s="16">
        <f>+AN53*AN42*(1-AN54)</f>
        <v>329.83465044642622</v>
      </c>
      <c r="AO12" s="16">
        <f>+AO53*AO42*(1-AO54)</f>
        <v>339.70563267384279</v>
      </c>
      <c r="AP12" s="16">
        <f>+AP53*AP42*(1-AP54)</f>
        <v>344.59903584732319</v>
      </c>
      <c r="AQ12" s="17">
        <f>+AP12</f>
        <v>344.59903584732319</v>
      </c>
      <c r="AR12" s="16">
        <f>+AR53*AR42*(1-AR54)</f>
        <v>358.868939159494</v>
      </c>
      <c r="AS12" s="16">
        <f>+AS53*AS42*(1-AS54)</f>
        <v>358.53250016779822</v>
      </c>
      <c r="AT12" s="16">
        <f>+AT53*AT42*(1-AT54)</f>
        <v>369.56493207044997</v>
      </c>
      <c r="AU12" s="16">
        <f>+AU53*AU42*(1-AU54)</f>
        <v>375.51255275080263</v>
      </c>
      <c r="AV12" s="17">
        <f>+AU12</f>
        <v>375.51255275080263</v>
      </c>
    </row>
    <row r="13" spans="1:48" ht="14.55" customHeight="1" outlineLevel="1" x14ac:dyDescent="0.3">
      <c r="A13" s="161"/>
      <c r="B13" s="200" t="s">
        <v>220</v>
      </c>
      <c r="C13" s="207"/>
      <c r="D13" s="16">
        <v>336.1</v>
      </c>
      <c r="E13" s="16">
        <v>309.3</v>
      </c>
      <c r="F13" s="16">
        <v>340.3</v>
      </c>
      <c r="G13" s="16">
        <v>396</v>
      </c>
      <c r="H13" s="17">
        <f t="shared" si="1"/>
        <v>396</v>
      </c>
      <c r="I13" s="16">
        <v>411.3</v>
      </c>
      <c r="J13" s="16">
        <v>420.9</v>
      </c>
      <c r="K13" s="16">
        <v>426.1</v>
      </c>
      <c r="L13" s="101">
        <v>478.7</v>
      </c>
      <c r="M13" s="17">
        <f>+L13</f>
        <v>478.7</v>
      </c>
      <c r="N13" s="16">
        <v>496</v>
      </c>
      <c r="O13" s="16">
        <v>499.4</v>
      </c>
      <c r="P13" s="16">
        <v>535.29999999999995</v>
      </c>
      <c r="Q13" s="101">
        <v>268.5</v>
      </c>
      <c r="R13" s="17">
        <f>+Q13</f>
        <v>268.5</v>
      </c>
      <c r="S13" s="16">
        <v>251.9</v>
      </c>
      <c r="T13" s="16">
        <v>270.8</v>
      </c>
      <c r="U13" s="16">
        <v>302.7</v>
      </c>
      <c r="V13" s="33">
        <f>U13</f>
        <v>302.7</v>
      </c>
      <c r="W13" s="17">
        <f>+V13</f>
        <v>302.7</v>
      </c>
      <c r="X13" s="33">
        <f>V13</f>
        <v>302.7</v>
      </c>
      <c r="Y13" s="33">
        <f>X13</f>
        <v>302.7</v>
      </c>
      <c r="Z13" s="33">
        <f>Y13</f>
        <v>302.7</v>
      </c>
      <c r="AA13" s="33">
        <f>Z13</f>
        <v>302.7</v>
      </c>
      <c r="AB13" s="17">
        <f>+AA13</f>
        <v>302.7</v>
      </c>
      <c r="AC13" s="33">
        <f>AA13</f>
        <v>302.7</v>
      </c>
      <c r="AD13" s="33">
        <f>AC13</f>
        <v>302.7</v>
      </c>
      <c r="AE13" s="33">
        <f>AD13</f>
        <v>302.7</v>
      </c>
      <c r="AF13" s="33">
        <f>AE13</f>
        <v>302.7</v>
      </c>
      <c r="AG13" s="17">
        <f>+AF13</f>
        <v>302.7</v>
      </c>
      <c r="AH13" s="33">
        <f>AF13</f>
        <v>302.7</v>
      </c>
      <c r="AI13" s="33">
        <f>AH13</f>
        <v>302.7</v>
      </c>
      <c r="AJ13" s="33">
        <f>AI13</f>
        <v>302.7</v>
      </c>
      <c r="AK13" s="33">
        <f>AJ13</f>
        <v>302.7</v>
      </c>
      <c r="AL13" s="17">
        <f>+AK13</f>
        <v>302.7</v>
      </c>
      <c r="AM13" s="33">
        <f>AK13</f>
        <v>302.7</v>
      </c>
      <c r="AN13" s="33">
        <f>AM13</f>
        <v>302.7</v>
      </c>
      <c r="AO13" s="33">
        <f>AN13</f>
        <v>302.7</v>
      </c>
      <c r="AP13" s="33">
        <f>AO13</f>
        <v>302.7</v>
      </c>
      <c r="AQ13" s="17">
        <f>+AP13</f>
        <v>302.7</v>
      </c>
      <c r="AR13" s="33">
        <f>AP13</f>
        <v>302.7</v>
      </c>
      <c r="AS13" s="33">
        <f>AR13</f>
        <v>302.7</v>
      </c>
      <c r="AT13" s="33">
        <f>AS13</f>
        <v>302.7</v>
      </c>
      <c r="AU13" s="33">
        <f>AT13</f>
        <v>302.7</v>
      </c>
      <c r="AV13" s="17">
        <f>+AU13</f>
        <v>302.7</v>
      </c>
    </row>
    <row r="14" spans="1:48" s="8" customFormat="1" outlineLevel="1" x14ac:dyDescent="0.3">
      <c r="A14" s="161"/>
      <c r="B14" s="200" t="s">
        <v>221</v>
      </c>
      <c r="C14" s="206"/>
      <c r="D14" s="16">
        <v>6039.3</v>
      </c>
      <c r="E14" s="16">
        <v>6135.5</v>
      </c>
      <c r="F14" s="16">
        <v>6187.8</v>
      </c>
      <c r="G14" s="16">
        <v>6431.7</v>
      </c>
      <c r="H14" s="17">
        <f t="shared" si="1"/>
        <v>6431.7</v>
      </c>
      <c r="I14" s="16">
        <v>6390.9</v>
      </c>
      <c r="J14" s="16">
        <v>6387</v>
      </c>
      <c r="K14" s="16">
        <v>6295.6</v>
      </c>
      <c r="L14" s="101">
        <v>6241.4</v>
      </c>
      <c r="M14" s="17">
        <f>+L14</f>
        <v>6241.4</v>
      </c>
      <c r="N14" s="16">
        <v>6177.9</v>
      </c>
      <c r="O14" s="16">
        <v>6123.1</v>
      </c>
      <c r="P14" s="16">
        <v>6151.4</v>
      </c>
      <c r="Q14" s="101">
        <v>6369.5</v>
      </c>
      <c r="R14" s="17">
        <f>+Q14</f>
        <v>6369.5</v>
      </c>
      <c r="S14" s="16">
        <v>6398</v>
      </c>
      <c r="T14" s="16">
        <v>6460.8</v>
      </c>
      <c r="U14" s="101">
        <v>6408.2</v>
      </c>
      <c r="V14" s="16">
        <f>+U14-'CFS (Bull-Case)'!V25-'CFS (Bull-Case)'!V7</f>
        <v>6507.1394525996957</v>
      </c>
      <c r="W14" s="17">
        <f>+V14</f>
        <v>6507.1394525996957</v>
      </c>
      <c r="X14" s="16">
        <f>+V14-'CFS (Bull-Case)'!X25-'CFS (Bull-Case)'!X7</f>
        <v>6780.8354348738358</v>
      </c>
      <c r="Y14" s="16">
        <f>+X14-'CFS (Bull-Case)'!Y25-'CFS (Bull-Case)'!Y7</f>
        <v>7016.2535907887523</v>
      </c>
      <c r="Z14" s="16">
        <f>+Y14-'CFS (Bull-Case)'!Z25-'CFS (Bull-Case)'!Z7</f>
        <v>7299.2025829201775</v>
      </c>
      <c r="AA14" s="16">
        <f>+Z14-'CFS (Bull-Case)'!AA25-'CFS (Bull-Case)'!AA7</f>
        <v>7580.8707566115345</v>
      </c>
      <c r="AB14" s="17">
        <f>+AA14</f>
        <v>7580.8707566115345</v>
      </c>
      <c r="AC14" s="16">
        <f>+AA14-'CFS (Bull-Case)'!AC25-'CFS (Bull-Case)'!AC7</f>
        <v>7800.4689193960166</v>
      </c>
      <c r="AD14" s="16">
        <f>+AC14-'CFS (Bull-Case)'!AD25-'CFS (Bull-Case)'!AD7</f>
        <v>7969.7126810207292</v>
      </c>
      <c r="AE14" s="16">
        <f>+AD14-'CFS (Bull-Case)'!AE25-'CFS (Bull-Case)'!AE7</f>
        <v>8190.5243688381361</v>
      </c>
      <c r="AF14" s="16">
        <f>+AE14-'CFS (Bull-Case)'!AF25-'CFS (Bull-Case)'!AF7</f>
        <v>8415.4666254271724</v>
      </c>
      <c r="AG14" s="17">
        <f>+AF14</f>
        <v>8415.4666254271724</v>
      </c>
      <c r="AH14" s="16">
        <f>+AF14-'CFS (Bull-Case)'!AH25-'CFS (Bull-Case)'!AH7</f>
        <v>8584.2058113945131</v>
      </c>
      <c r="AI14" s="16">
        <f>+AH14-'CFS (Bull-Case)'!AI25-'CFS (Bull-Case)'!AI7</f>
        <v>8705.3148519885126</v>
      </c>
      <c r="AJ14" s="16">
        <f>+AI14-'CFS (Bull-Case)'!AJ25-'CFS (Bull-Case)'!AJ7</f>
        <v>8881.2353728830349</v>
      </c>
      <c r="AK14" s="16">
        <f>+AJ14-'CFS (Bull-Case)'!AK25-'CFS (Bull-Case)'!AK7</f>
        <v>9065.193765585851</v>
      </c>
      <c r="AL14" s="17">
        <f>+AK14</f>
        <v>9065.193765585851</v>
      </c>
      <c r="AM14" s="16">
        <f>+AK14-'CFS (Bull-Case)'!AM25-'CFS (Bull-Case)'!AM7</f>
        <v>9262.2490910929901</v>
      </c>
      <c r="AN14" s="16">
        <f>+AM14-'CFS (Bull-Case)'!AN25-'CFS (Bull-Case)'!AN7</f>
        <v>9402.7449652767828</v>
      </c>
      <c r="AO14" s="16">
        <f>+AN14-'CFS (Bull-Case)'!AO25-'CFS (Bull-Case)'!AO7</f>
        <v>9599.9857111822494</v>
      </c>
      <c r="AP14" s="16">
        <f>+AO14-'CFS (Bull-Case)'!AP25-'CFS (Bull-Case)'!AP7</f>
        <v>9803.3643370390873</v>
      </c>
      <c r="AQ14" s="17">
        <f>+AP14</f>
        <v>9803.3643370390873</v>
      </c>
      <c r="AR14" s="16">
        <f>+AP14-'CFS (Bull-Case)'!AR25-'CFS (Bull-Case)'!AR7</f>
        <v>10004.189622921031</v>
      </c>
      <c r="AS14" s="16">
        <f>+AR14-'CFS (Bull-Case)'!AS25-'CFS (Bull-Case)'!AS7</f>
        <v>10144.79420484836</v>
      </c>
      <c r="AT14" s="16">
        <f>+AS14-'CFS (Bull-Case)'!AT25-'CFS (Bull-Case)'!AT7</f>
        <v>10346.16019228987</v>
      </c>
      <c r="AU14" s="16">
        <f>+AT14-'CFS (Bull-Case)'!AU25-'CFS (Bull-Case)'!AU7</f>
        <v>10554.799243168543</v>
      </c>
      <c r="AV14" s="17">
        <f>+AU14</f>
        <v>10554.799243168543</v>
      </c>
    </row>
    <row r="15" spans="1:48" s="8" customFormat="1" outlineLevel="1" x14ac:dyDescent="0.3">
      <c r="A15" s="161"/>
      <c r="B15" s="200" t="s">
        <v>222</v>
      </c>
      <c r="C15" s="206"/>
      <c r="D15" s="16">
        <v>0</v>
      </c>
      <c r="E15" s="16">
        <v>0</v>
      </c>
      <c r="F15" s="16">
        <v>0</v>
      </c>
      <c r="G15" s="16">
        <v>0</v>
      </c>
      <c r="H15" s="17">
        <f t="shared" si="1"/>
        <v>0</v>
      </c>
      <c r="I15" s="16">
        <v>8358.5</v>
      </c>
      <c r="J15" s="16">
        <v>8260.7999999999993</v>
      </c>
      <c r="K15" s="16">
        <v>8214</v>
      </c>
      <c r="L15" s="101">
        <v>8134.1</v>
      </c>
      <c r="M15" s="17">
        <f>L15</f>
        <v>8134.1</v>
      </c>
      <c r="N15" s="16">
        <v>8199.4</v>
      </c>
      <c r="O15" s="16">
        <v>8036.8</v>
      </c>
      <c r="P15" s="16">
        <v>8065.2</v>
      </c>
      <c r="Q15" s="101">
        <v>8236</v>
      </c>
      <c r="R15" s="17">
        <f>Q15</f>
        <v>8236</v>
      </c>
      <c r="S15" s="16">
        <v>8203.4</v>
      </c>
      <c r="T15" s="16">
        <v>8170.2</v>
      </c>
      <c r="U15" s="101">
        <v>8037.1</v>
      </c>
      <c r="V15" s="33">
        <f>U15*0.996</f>
        <v>8004.9516000000003</v>
      </c>
      <c r="W15" s="17">
        <f>V15</f>
        <v>8004.9516000000003</v>
      </c>
      <c r="X15" s="33">
        <f>V15*0.996</f>
        <v>7972.9317936000007</v>
      </c>
      <c r="Y15" s="33">
        <f>X15*0.996</f>
        <v>7941.0400664256003</v>
      </c>
      <c r="Z15" s="33">
        <f>Y15*0.996</f>
        <v>7909.2759061598981</v>
      </c>
      <c r="AA15" s="33">
        <f>Z15*0.996</f>
        <v>7877.6388025352589</v>
      </c>
      <c r="AB15" s="17">
        <f>AA15</f>
        <v>7877.6388025352589</v>
      </c>
      <c r="AC15" s="33">
        <f>AA15*0.996</f>
        <v>7846.1282473251176</v>
      </c>
      <c r="AD15" s="33">
        <f>AC15*0.996</f>
        <v>7814.743734335817</v>
      </c>
      <c r="AE15" s="33">
        <f>AD15*0.996</f>
        <v>7783.4847593984732</v>
      </c>
      <c r="AF15" s="33">
        <f>AE15*0.996</f>
        <v>7752.350820360879</v>
      </c>
      <c r="AG15" s="17">
        <f>AF15</f>
        <v>7752.350820360879</v>
      </c>
      <c r="AH15" s="33">
        <f>AF15*0.996</f>
        <v>7721.3414170794358</v>
      </c>
      <c r="AI15" s="33">
        <f>AH15*0.996</f>
        <v>7690.4560514111181</v>
      </c>
      <c r="AJ15" s="33">
        <f>AI15*0.996</f>
        <v>7659.6942272054739</v>
      </c>
      <c r="AK15" s="33">
        <f>AJ15*0.996</f>
        <v>7629.0554502966515</v>
      </c>
      <c r="AL15" s="17">
        <f>AK15</f>
        <v>7629.0554502966515</v>
      </c>
      <c r="AM15" s="33">
        <f>AK15*0.996</f>
        <v>7598.5392284954651</v>
      </c>
      <c r="AN15" s="33">
        <f>AM15*0.996</f>
        <v>7568.1450715814835</v>
      </c>
      <c r="AO15" s="33">
        <f>AN15*0.996</f>
        <v>7537.8724912951575</v>
      </c>
      <c r="AP15" s="33">
        <f>AO15*0.996</f>
        <v>7507.7210013299764</v>
      </c>
      <c r="AQ15" s="17">
        <f>AP15</f>
        <v>7507.7210013299764</v>
      </c>
      <c r="AR15" s="33">
        <f>AP15*0.996</f>
        <v>7477.6901173246561</v>
      </c>
      <c r="AS15" s="33">
        <f>AR15*0.996</f>
        <v>7447.779356855357</v>
      </c>
      <c r="AT15" s="33">
        <f>AS15*0.996</f>
        <v>7417.9882394279357</v>
      </c>
      <c r="AU15" s="33">
        <f>AT15*0.996</f>
        <v>7388.3162864702235</v>
      </c>
      <c r="AV15" s="17">
        <f>AU15</f>
        <v>7388.3162864702235</v>
      </c>
    </row>
    <row r="16" spans="1:48" s="8" customFormat="1" outlineLevel="1" x14ac:dyDescent="0.3">
      <c r="A16" s="161"/>
      <c r="B16" s="200" t="s">
        <v>223</v>
      </c>
      <c r="C16" s="206"/>
      <c r="D16" s="16">
        <v>650</v>
      </c>
      <c r="E16" s="16">
        <v>1006.6</v>
      </c>
      <c r="F16" s="16">
        <v>1533</v>
      </c>
      <c r="G16" s="16">
        <v>1765.8</v>
      </c>
      <c r="H16" s="17">
        <f t="shared" si="1"/>
        <v>1765.8</v>
      </c>
      <c r="I16" s="16">
        <v>1731.4</v>
      </c>
      <c r="J16" s="16">
        <v>1709.7</v>
      </c>
      <c r="K16" s="16">
        <v>1740</v>
      </c>
      <c r="L16" s="101">
        <v>1789.9</v>
      </c>
      <c r="M16" s="17">
        <f>+L16</f>
        <v>1789.9</v>
      </c>
      <c r="N16" s="16">
        <v>1792.4</v>
      </c>
      <c r="O16" s="16">
        <v>1770</v>
      </c>
      <c r="P16" s="16">
        <v>1851</v>
      </c>
      <c r="Q16" s="101">
        <v>1874.8</v>
      </c>
      <c r="R16" s="17">
        <f>+Q16</f>
        <v>1874.8</v>
      </c>
      <c r="S16" s="16">
        <v>1859.7</v>
      </c>
      <c r="T16" s="16">
        <v>1809.4</v>
      </c>
      <c r="U16" s="101">
        <v>1752.9</v>
      </c>
      <c r="V16" s="101">
        <f>V55*(V27+V33)</f>
        <v>1781.9610885551483</v>
      </c>
      <c r="W16" s="169">
        <f>+V16</f>
        <v>1781.9610885551483</v>
      </c>
      <c r="X16" s="101">
        <f>X55*(X27+X33)</f>
        <v>1867.4297992146699</v>
      </c>
      <c r="Y16" s="101">
        <f>Y55*(Y27+Y33)</f>
        <v>1790.8144471711594</v>
      </c>
      <c r="Z16" s="101">
        <f>Z55*(Z27+Z33)</f>
        <v>1777.3703618915845</v>
      </c>
      <c r="AA16" s="101">
        <f>AA55*(AA27+AA33)</f>
        <v>1771.5734908146667</v>
      </c>
      <c r="AB16" s="169">
        <f>+AA16</f>
        <v>1771.5734908146667</v>
      </c>
      <c r="AC16" s="101">
        <f>AC55*(AC27+AC33)</f>
        <v>1883.3755386589005</v>
      </c>
      <c r="AD16" s="101">
        <f>AD55*(AD27+AD33)</f>
        <v>1797.8999998333529</v>
      </c>
      <c r="AE16" s="101">
        <f>AE55*(AE27+AE33)</f>
        <v>1786.6340444524201</v>
      </c>
      <c r="AF16" s="101">
        <f>AF55*(AF27+AF33)</f>
        <v>1776.0422144755937</v>
      </c>
      <c r="AG16" s="169">
        <f>+AF16</f>
        <v>1776.0422144755937</v>
      </c>
      <c r="AH16" s="101">
        <f>AH55*(AH27+AH33)</f>
        <v>1901.0967453881703</v>
      </c>
      <c r="AI16" s="101">
        <f>AI55*(AI27+AI33)</f>
        <v>1808.6186750465192</v>
      </c>
      <c r="AJ16" s="101">
        <f>AJ55*(AJ27+AJ33)</f>
        <v>1797.1689793504727</v>
      </c>
      <c r="AK16" s="101">
        <f>AK55*(AK27+AK33)</f>
        <v>1785.8148126834899</v>
      </c>
      <c r="AL16" s="169">
        <f>+AK16</f>
        <v>1785.8148126834899</v>
      </c>
      <c r="AM16" s="101">
        <f>AM55*(AM27+AM33)</f>
        <v>1922.4879994793748</v>
      </c>
      <c r="AN16" s="101">
        <f>AN55*(AN27+AN33)</f>
        <v>1822.8715630117917</v>
      </c>
      <c r="AO16" s="101">
        <f>AO55*(AO27+AO33)</f>
        <v>1811.1237842583951</v>
      </c>
      <c r="AP16" s="101">
        <f>AP55*(AP27+AP33)</f>
        <v>1799.4549469665769</v>
      </c>
      <c r="AQ16" s="169">
        <f>+AP16</f>
        <v>1799.4549469665769</v>
      </c>
      <c r="AR16" s="101">
        <f>AR55*(AR27+AR33)</f>
        <v>1948.2320195489522</v>
      </c>
      <c r="AS16" s="101">
        <f>AS55*(AS27+AS33)</f>
        <v>1840.9816660405222</v>
      </c>
      <c r="AT16" s="101">
        <f>AT55*(AT27+AT33)</f>
        <v>1828.9187893622116</v>
      </c>
      <c r="AU16" s="101">
        <f>AU55*(AU27+AU33)</f>
        <v>1816.9434358010662</v>
      </c>
      <c r="AV16" s="17">
        <f>+AU16</f>
        <v>1816.9434358010662</v>
      </c>
    </row>
    <row r="17" spans="1:48" s="8" customFormat="1" outlineLevel="1" x14ac:dyDescent="0.3">
      <c r="A17" s="161"/>
      <c r="B17" s="200" t="s">
        <v>224</v>
      </c>
      <c r="C17" s="206"/>
      <c r="D17" s="16">
        <v>472.7</v>
      </c>
      <c r="E17" s="16">
        <v>464.5</v>
      </c>
      <c r="F17" s="16">
        <v>458</v>
      </c>
      <c r="G17" s="16">
        <v>479.6</v>
      </c>
      <c r="H17" s="17">
        <f t="shared" si="1"/>
        <v>479.6</v>
      </c>
      <c r="I17" s="16">
        <v>484.7</v>
      </c>
      <c r="J17" s="16">
        <v>580.1</v>
      </c>
      <c r="K17" s="16">
        <v>550.79999999999995</v>
      </c>
      <c r="L17" s="101">
        <v>568.6</v>
      </c>
      <c r="M17" s="17">
        <f>+L17</f>
        <v>568.6</v>
      </c>
      <c r="N17" s="16">
        <v>541.1</v>
      </c>
      <c r="O17" s="16">
        <v>574.9</v>
      </c>
      <c r="P17" s="16">
        <v>586.29999999999995</v>
      </c>
      <c r="Q17" s="101">
        <v>578.5</v>
      </c>
      <c r="R17" s="17">
        <f>+Q17</f>
        <v>578.5</v>
      </c>
      <c r="S17" s="16">
        <v>588</v>
      </c>
      <c r="T17" s="16">
        <v>582.79999999999995</v>
      </c>
      <c r="U17" s="101">
        <v>640.70000000000005</v>
      </c>
      <c r="V17" s="33">
        <f>+U17*(V42/U42)</f>
        <v>637.25664391916609</v>
      </c>
      <c r="W17" s="17">
        <f>+V17</f>
        <v>637.25664391916609</v>
      </c>
      <c r="X17" s="33">
        <f>+V17*(X42/V42)</f>
        <v>655.1063154753632</v>
      </c>
      <c r="Y17" s="33">
        <f>+X17*(Y42/X42)</f>
        <v>652.06596868248425</v>
      </c>
      <c r="Z17" s="33">
        <f>+Y17*(Z42/Y42)</f>
        <v>666.97818935786881</v>
      </c>
      <c r="AA17" s="33">
        <f>+Z17*(AA42/Z42)</f>
        <v>674.10798087972398</v>
      </c>
      <c r="AB17" s="17">
        <f>+AA17</f>
        <v>674.10798087972398</v>
      </c>
      <c r="AC17" s="33">
        <f>+AA17*(AC42/AA42)</f>
        <v>701.35887738350914</v>
      </c>
      <c r="AD17" s="33">
        <f>+AC17*(AD42/AC42)</f>
        <v>701.23992955928918</v>
      </c>
      <c r="AE17" s="33">
        <f>+AD17*(AE42/AD42)</f>
        <v>717.52479036722013</v>
      </c>
      <c r="AF17" s="33">
        <f>+AE17*(AF42/AE42)</f>
        <v>727.82454412942059</v>
      </c>
      <c r="AG17" s="17">
        <f>+AF17</f>
        <v>727.82454412942059</v>
      </c>
      <c r="AH17" s="33">
        <f>+AF17*(AH42/AF42)</f>
        <v>758.23010430392014</v>
      </c>
      <c r="AI17" s="33">
        <f>+AH17*(AI42/AH42)</f>
        <v>759.56450410587468</v>
      </c>
      <c r="AJ17" s="33">
        <f>+AI17*(AJ42/AI42)</f>
        <v>787.77303865754106</v>
      </c>
      <c r="AK17" s="33">
        <f>+AJ17*(AK42/AJ42)</f>
        <v>716.85827962393387</v>
      </c>
      <c r="AL17" s="17">
        <f>+AK17</f>
        <v>716.85827962393387</v>
      </c>
      <c r="AM17" s="33">
        <f>+AK17*(AM42/AK42)</f>
        <v>745.58687236102253</v>
      </c>
      <c r="AN17" s="33">
        <f>+AM17*(AN42/AM42)</f>
        <v>743.29364690881107</v>
      </c>
      <c r="AO17" s="33">
        <f>+AN17*(AO42/AN42)</f>
        <v>765.53855103280875</v>
      </c>
      <c r="AP17" s="33">
        <f>+AO17*(AP42/AO42)</f>
        <v>776.57178542349868</v>
      </c>
      <c r="AQ17" s="17">
        <f>+AP17</f>
        <v>776.57178542349868</v>
      </c>
      <c r="AR17" s="33">
        <f>+AP17*(AR42/AP42)</f>
        <v>808.71911790497677</v>
      </c>
      <c r="AS17" s="33">
        <f>+AR17*(AS42/AR42)</f>
        <v>807.96582552278016</v>
      </c>
      <c r="AT17" s="33">
        <f>+AS17*(AT42/AS42)</f>
        <v>832.82795897645553</v>
      </c>
      <c r="AU17" s="33">
        <f>+AT17*(AU42/AT42)</f>
        <v>846.23124690928955</v>
      </c>
      <c r="AV17" s="17">
        <f>+AU17</f>
        <v>846.23124690928955</v>
      </c>
    </row>
    <row r="18" spans="1:48" s="8" customFormat="1" outlineLevel="1" x14ac:dyDescent="0.3">
      <c r="A18" s="161"/>
      <c r="B18" s="200" t="s">
        <v>225</v>
      </c>
      <c r="C18" s="206"/>
      <c r="D18" s="16">
        <v>981.6</v>
      </c>
      <c r="E18" s="16">
        <v>918.3</v>
      </c>
      <c r="F18" s="16">
        <v>853.2</v>
      </c>
      <c r="G18" s="16">
        <v>781.8</v>
      </c>
      <c r="H18" s="17">
        <f t="shared" si="1"/>
        <v>781.8</v>
      </c>
      <c r="I18" s="16">
        <v>739.1</v>
      </c>
      <c r="J18" s="16">
        <v>678.7</v>
      </c>
      <c r="K18" s="16">
        <v>599.6</v>
      </c>
      <c r="L18" s="101">
        <v>552.1</v>
      </c>
      <c r="M18" s="17">
        <f>+L18</f>
        <v>552.1</v>
      </c>
      <c r="N18" s="16">
        <v>506.4</v>
      </c>
      <c r="O18" s="16">
        <v>444.3</v>
      </c>
      <c r="P18" s="16">
        <v>398</v>
      </c>
      <c r="Q18" s="101">
        <v>349.9</v>
      </c>
      <c r="R18" s="17">
        <f>+Q18</f>
        <v>349.9</v>
      </c>
      <c r="S18" s="16">
        <v>302.5</v>
      </c>
      <c r="T18" s="16">
        <v>254.7</v>
      </c>
      <c r="U18" s="101">
        <v>203.4</v>
      </c>
      <c r="V18" s="33">
        <f>+U18*0.92</f>
        <v>187.12800000000001</v>
      </c>
      <c r="W18" s="17">
        <f>+V18</f>
        <v>187.12800000000001</v>
      </c>
      <c r="X18" s="33">
        <f>+V18*0.92</f>
        <v>172.15776000000002</v>
      </c>
      <c r="Y18" s="33">
        <f>+X18*0.92</f>
        <v>158.38513920000003</v>
      </c>
      <c r="Z18" s="33">
        <f>+Y18*0.92</f>
        <v>145.71432806400003</v>
      </c>
      <c r="AA18" s="33">
        <f>+Z18*0.92</f>
        <v>134.05718181888003</v>
      </c>
      <c r="AB18" s="17">
        <f>+AA18</f>
        <v>134.05718181888003</v>
      </c>
      <c r="AC18" s="33">
        <f>+AA18*0.92</f>
        <v>123.33260727336963</v>
      </c>
      <c r="AD18" s="33">
        <f>+AC18*0.92</f>
        <v>113.46599869150006</v>
      </c>
      <c r="AE18" s="33">
        <f>+AD18*0.92</f>
        <v>104.38871879618006</v>
      </c>
      <c r="AF18" s="33">
        <f>+AE18*0.92</f>
        <v>96.037621292485653</v>
      </c>
      <c r="AG18" s="17">
        <f>+AF18</f>
        <v>96.037621292485653</v>
      </c>
      <c r="AH18" s="33">
        <f>+AF18*0.92</f>
        <v>88.354611589086801</v>
      </c>
      <c r="AI18" s="33">
        <f>+AH18*0.92</f>
        <v>81.286242661959861</v>
      </c>
      <c r="AJ18" s="33">
        <f>+AI18*0.92</f>
        <v>74.783343249003082</v>
      </c>
      <c r="AK18" s="33">
        <f>+AJ18*0.92</f>
        <v>68.800675789082831</v>
      </c>
      <c r="AL18" s="17">
        <f>+AK18</f>
        <v>68.800675789082831</v>
      </c>
      <c r="AM18" s="33">
        <f>+AK18*0.92</f>
        <v>63.296621725956207</v>
      </c>
      <c r="AN18" s="33">
        <f>+AM18*0.92</f>
        <v>58.232891987879711</v>
      </c>
      <c r="AO18" s="33">
        <f>+AN18*0.92</f>
        <v>53.574260628849338</v>
      </c>
      <c r="AP18" s="33">
        <f>+AO18*0.92</f>
        <v>49.288319778541393</v>
      </c>
      <c r="AQ18" s="17">
        <f>+AP18</f>
        <v>49.288319778541393</v>
      </c>
      <c r="AR18" s="33">
        <f>+AP18*0.92</f>
        <v>45.345254196258082</v>
      </c>
      <c r="AS18" s="33">
        <f>+AR18*0.92</f>
        <v>41.717633860557434</v>
      </c>
      <c r="AT18" s="33">
        <f>+AS18*0.92</f>
        <v>38.38022315171284</v>
      </c>
      <c r="AU18" s="33">
        <f>+AT18*0.92</f>
        <v>35.309805299575814</v>
      </c>
      <c r="AV18" s="17">
        <f>+AU18</f>
        <v>35.309805299575814</v>
      </c>
    </row>
    <row r="19" spans="1:48" ht="16.2" outlineLevel="1" x14ac:dyDescent="0.45">
      <c r="A19" s="161"/>
      <c r="B19" s="435" t="s">
        <v>226</v>
      </c>
      <c r="C19" s="436"/>
      <c r="D19" s="260">
        <v>3560.3</v>
      </c>
      <c r="E19" s="260">
        <v>3603.5</v>
      </c>
      <c r="F19" s="260">
        <v>3564.7</v>
      </c>
      <c r="G19" s="260">
        <v>3490.8</v>
      </c>
      <c r="H19" s="261">
        <f>G19</f>
        <v>3490.8</v>
      </c>
      <c r="I19" s="260">
        <v>3515.9</v>
      </c>
      <c r="J19" s="260">
        <v>3493</v>
      </c>
      <c r="K19" s="260">
        <v>3510.1</v>
      </c>
      <c r="L19" s="112">
        <v>3597.2</v>
      </c>
      <c r="M19" s="261">
        <f>L19</f>
        <v>3597.2</v>
      </c>
      <c r="N19" s="260">
        <v>3706.8</v>
      </c>
      <c r="O19" s="260">
        <v>3658.9</v>
      </c>
      <c r="P19" s="260">
        <v>3672</v>
      </c>
      <c r="Q19" s="112">
        <v>3677.3</v>
      </c>
      <c r="R19" s="261">
        <f>Q19</f>
        <v>3677.3</v>
      </c>
      <c r="S19" s="260">
        <v>3675.7</v>
      </c>
      <c r="T19" s="260">
        <v>3646.1</v>
      </c>
      <c r="U19" s="112">
        <v>3451.2</v>
      </c>
      <c r="V19" s="32">
        <f>+U19</f>
        <v>3451.2</v>
      </c>
      <c r="W19" s="261">
        <f>V19</f>
        <v>3451.2</v>
      </c>
      <c r="X19" s="32">
        <f>+V19</f>
        <v>3451.2</v>
      </c>
      <c r="Y19" s="32">
        <f>+X19</f>
        <v>3451.2</v>
      </c>
      <c r="Z19" s="32">
        <f>+Y19</f>
        <v>3451.2</v>
      </c>
      <c r="AA19" s="32">
        <f>+Z19</f>
        <v>3451.2</v>
      </c>
      <c r="AB19" s="261">
        <f>AA19</f>
        <v>3451.2</v>
      </c>
      <c r="AC19" s="32">
        <f>+AA19</f>
        <v>3451.2</v>
      </c>
      <c r="AD19" s="32">
        <f>+AC19</f>
        <v>3451.2</v>
      </c>
      <c r="AE19" s="32">
        <f>+AD19</f>
        <v>3451.2</v>
      </c>
      <c r="AF19" s="32">
        <f>+AE19</f>
        <v>3451.2</v>
      </c>
      <c r="AG19" s="261">
        <f>AF19</f>
        <v>3451.2</v>
      </c>
      <c r="AH19" s="32">
        <f>+AF19</f>
        <v>3451.2</v>
      </c>
      <c r="AI19" s="32">
        <f>+AH19</f>
        <v>3451.2</v>
      </c>
      <c r="AJ19" s="32">
        <f>+AI19</f>
        <v>3451.2</v>
      </c>
      <c r="AK19" s="32">
        <f>+AJ19</f>
        <v>3451.2</v>
      </c>
      <c r="AL19" s="261">
        <f>AK19</f>
        <v>3451.2</v>
      </c>
      <c r="AM19" s="32">
        <f>+AK19</f>
        <v>3451.2</v>
      </c>
      <c r="AN19" s="32">
        <f>+AM19</f>
        <v>3451.2</v>
      </c>
      <c r="AO19" s="32">
        <f>+AN19</f>
        <v>3451.2</v>
      </c>
      <c r="AP19" s="32">
        <f>+AO19</f>
        <v>3451.2</v>
      </c>
      <c r="AQ19" s="261">
        <f>AP19</f>
        <v>3451.2</v>
      </c>
      <c r="AR19" s="32">
        <f>+AP19</f>
        <v>3451.2</v>
      </c>
      <c r="AS19" s="32">
        <f>+AR19</f>
        <v>3451.2</v>
      </c>
      <c r="AT19" s="32">
        <f>+AS19</f>
        <v>3451.2</v>
      </c>
      <c r="AU19" s="32">
        <f>+AT19</f>
        <v>3451.2</v>
      </c>
      <c r="AV19" s="261">
        <f>AU19</f>
        <v>3451.2</v>
      </c>
    </row>
    <row r="20" spans="1:48" outlineLevel="1" x14ac:dyDescent="0.3">
      <c r="A20" s="161"/>
      <c r="B20" s="472" t="s">
        <v>227</v>
      </c>
      <c r="C20" s="473"/>
      <c r="D20" s="21">
        <f t="shared" ref="D20:AV20" si="2">+SUM(D11:D19)</f>
        <v>19981.3</v>
      </c>
      <c r="E20" s="21">
        <f t="shared" si="2"/>
        <v>17641.900000000001</v>
      </c>
      <c r="F20" s="21">
        <f t="shared" si="2"/>
        <v>20894.500000000004</v>
      </c>
      <c r="G20" s="21">
        <f t="shared" si="2"/>
        <v>19219.400000000001</v>
      </c>
      <c r="H20" s="22">
        <f t="shared" si="2"/>
        <v>19219.400000000001</v>
      </c>
      <c r="I20" s="21">
        <f t="shared" si="2"/>
        <v>27731.300000000007</v>
      </c>
      <c r="J20" s="21">
        <f t="shared" si="2"/>
        <v>27478.9</v>
      </c>
      <c r="K20" s="21">
        <f t="shared" si="2"/>
        <v>29140.600000000002</v>
      </c>
      <c r="L20" s="21">
        <f t="shared" si="2"/>
        <v>29374.500000000004</v>
      </c>
      <c r="M20" s="22">
        <f t="shared" si="2"/>
        <v>29374.500000000004</v>
      </c>
      <c r="N20" s="21">
        <f t="shared" si="2"/>
        <v>29968.30000000001</v>
      </c>
      <c r="O20" s="21">
        <f t="shared" si="2"/>
        <v>28371.600000000013</v>
      </c>
      <c r="P20" s="21">
        <f t="shared" si="2"/>
        <v>29476.800000000007</v>
      </c>
      <c r="Q20" s="21">
        <f t="shared" si="2"/>
        <v>31392.600000000009</v>
      </c>
      <c r="R20" s="22">
        <f t="shared" si="2"/>
        <v>31392.600000000009</v>
      </c>
      <c r="S20" s="21">
        <f t="shared" si="2"/>
        <v>28833.900000000009</v>
      </c>
      <c r="T20" s="21">
        <f t="shared" si="2"/>
        <v>29021.500000000007</v>
      </c>
      <c r="U20" s="21">
        <f t="shared" si="2"/>
        <v>28156.200000000012</v>
      </c>
      <c r="V20" s="21">
        <f t="shared" si="2"/>
        <v>28004.878285495277</v>
      </c>
      <c r="W20" s="22">
        <f t="shared" si="2"/>
        <v>28004.878285495277</v>
      </c>
      <c r="X20" s="21">
        <f t="shared" si="2"/>
        <v>28789.299890412709</v>
      </c>
      <c r="Y20" s="21">
        <f t="shared" si="2"/>
        <v>28655.68882069262</v>
      </c>
      <c r="Z20" s="21">
        <f t="shared" si="2"/>
        <v>29311.021219288319</v>
      </c>
      <c r="AA20" s="21">
        <f t="shared" si="2"/>
        <v>29624.347013025887</v>
      </c>
      <c r="AB20" s="22">
        <f t="shared" si="2"/>
        <v>29624.347013025887</v>
      </c>
      <c r="AC20" s="21">
        <f t="shared" si="2"/>
        <v>30821.914817208617</v>
      </c>
      <c r="AD20" s="21">
        <f t="shared" si="2"/>
        <v>30816.687536533886</v>
      </c>
      <c r="AE20" s="21">
        <f t="shared" si="2"/>
        <v>31532.341973681177</v>
      </c>
      <c r="AF20" s="21">
        <f t="shared" si="2"/>
        <v>31984.974917148113</v>
      </c>
      <c r="AG20" s="22">
        <f t="shared" si="2"/>
        <v>31984.974917148113</v>
      </c>
      <c r="AH20" s="21">
        <f t="shared" si="2"/>
        <v>33321.177560171745</v>
      </c>
      <c r="AI20" s="21">
        <f t="shared" si="2"/>
        <v>33379.819089286459</v>
      </c>
      <c r="AJ20" s="21">
        <f t="shared" si="2"/>
        <v>34619.471251833085</v>
      </c>
      <c r="AK20" s="21">
        <f t="shared" si="2"/>
        <v>31503.051494845342</v>
      </c>
      <c r="AL20" s="22">
        <f t="shared" si="2"/>
        <v>31503.051494845342</v>
      </c>
      <c r="AM20" s="21">
        <f t="shared" si="2"/>
        <v>32765.558132622784</v>
      </c>
      <c r="AN20" s="21">
        <f t="shared" si="2"/>
        <v>32664.780054774255</v>
      </c>
      <c r="AO20" s="21">
        <f t="shared" si="2"/>
        <v>33642.35453502414</v>
      </c>
      <c r="AP20" s="21">
        <f t="shared" si="2"/>
        <v>34127.221015672098</v>
      </c>
      <c r="AQ20" s="22">
        <f t="shared" si="2"/>
        <v>34127.221015672098</v>
      </c>
      <c r="AR20" s="21">
        <f t="shared" si="2"/>
        <v>35539.967578517397</v>
      </c>
      <c r="AS20" s="21">
        <f t="shared" si="2"/>
        <v>35506.863394076005</v>
      </c>
      <c r="AT20" s="21">
        <f t="shared" si="2"/>
        <v>36599.45462546101</v>
      </c>
      <c r="AU20" s="21">
        <f t="shared" si="2"/>
        <v>37188.475470933867</v>
      </c>
      <c r="AV20" s="22">
        <f t="shared" si="2"/>
        <v>37188.475470933867</v>
      </c>
    </row>
    <row r="21" spans="1:48" ht="17.399999999999999" x14ac:dyDescent="0.45">
      <c r="A21" s="161"/>
      <c r="B21" s="433" t="s">
        <v>228</v>
      </c>
      <c r="C21" s="434"/>
      <c r="D21" s="14" t="s">
        <v>19</v>
      </c>
      <c r="E21" s="14" t="s">
        <v>81</v>
      </c>
      <c r="F21" s="14" t="s">
        <v>85</v>
      </c>
      <c r="G21" s="14" t="s">
        <v>95</v>
      </c>
      <c r="H21" s="40" t="s">
        <v>96</v>
      </c>
      <c r="I21" s="14" t="s">
        <v>97</v>
      </c>
      <c r="J21" s="14" t="s">
        <v>98</v>
      </c>
      <c r="K21" s="14" t="s">
        <v>99</v>
      </c>
      <c r="L21" s="14" t="s">
        <v>142</v>
      </c>
      <c r="M21" s="40" t="s">
        <v>143</v>
      </c>
      <c r="N21" s="14" t="s">
        <v>149</v>
      </c>
      <c r="O21" s="14" t="s">
        <v>157</v>
      </c>
      <c r="P21" s="14" t="s">
        <v>159</v>
      </c>
      <c r="Q21" s="14" t="s">
        <v>172</v>
      </c>
      <c r="R21" s="40" t="s">
        <v>173</v>
      </c>
      <c r="S21" s="14" t="s">
        <v>188</v>
      </c>
      <c r="T21" s="14" t="s">
        <v>189</v>
      </c>
      <c r="U21" s="14" t="s">
        <v>204</v>
      </c>
      <c r="V21" s="12" t="s">
        <v>25</v>
      </c>
      <c r="W21" s="42" t="s">
        <v>26</v>
      </c>
      <c r="X21" s="12" t="s">
        <v>27</v>
      </c>
      <c r="Y21" s="12" t="s">
        <v>28</v>
      </c>
      <c r="Z21" s="12" t="s">
        <v>29</v>
      </c>
      <c r="AA21" s="12" t="s">
        <v>30</v>
      </c>
      <c r="AB21" s="42" t="s">
        <v>31</v>
      </c>
      <c r="AC21" s="12" t="s">
        <v>90</v>
      </c>
      <c r="AD21" s="12" t="s">
        <v>91</v>
      </c>
      <c r="AE21" s="12" t="s">
        <v>92</v>
      </c>
      <c r="AF21" s="12" t="s">
        <v>93</v>
      </c>
      <c r="AG21" s="42" t="s">
        <v>94</v>
      </c>
      <c r="AH21" s="12" t="s">
        <v>109</v>
      </c>
      <c r="AI21" s="12" t="s">
        <v>110</v>
      </c>
      <c r="AJ21" s="12" t="s">
        <v>111</v>
      </c>
      <c r="AK21" s="12" t="s">
        <v>112</v>
      </c>
      <c r="AL21" s="42" t="s">
        <v>113</v>
      </c>
      <c r="AM21" s="12" t="s">
        <v>164</v>
      </c>
      <c r="AN21" s="12" t="s">
        <v>165</v>
      </c>
      <c r="AO21" s="12" t="s">
        <v>166</v>
      </c>
      <c r="AP21" s="12" t="s">
        <v>167</v>
      </c>
      <c r="AQ21" s="42" t="s">
        <v>168</v>
      </c>
      <c r="AR21" s="12" t="s">
        <v>195</v>
      </c>
      <c r="AS21" s="12" t="s">
        <v>196</v>
      </c>
      <c r="AT21" s="12" t="s">
        <v>197</v>
      </c>
      <c r="AU21" s="12" t="s">
        <v>198</v>
      </c>
      <c r="AV21" s="42" t="s">
        <v>199</v>
      </c>
    </row>
    <row r="22" spans="1:48" s="23" customFormat="1" outlineLevel="1" x14ac:dyDescent="0.3">
      <c r="A22" s="161"/>
      <c r="B22" s="435" t="s">
        <v>229</v>
      </c>
      <c r="C22" s="436"/>
      <c r="D22" s="101">
        <v>1100.5</v>
      </c>
      <c r="E22" s="101">
        <v>1096.7</v>
      </c>
      <c r="F22" s="101">
        <v>1145.4000000000001</v>
      </c>
      <c r="G22" s="101">
        <v>1189.7</v>
      </c>
      <c r="H22" s="169">
        <f t="shared" ref="H22:H29" si="3">G22</f>
        <v>1189.7</v>
      </c>
      <c r="I22" s="101">
        <v>1085.5999999999999</v>
      </c>
      <c r="J22" s="101">
        <v>997.7</v>
      </c>
      <c r="K22" s="101">
        <v>860.8</v>
      </c>
      <c r="L22" s="101">
        <v>997.9</v>
      </c>
      <c r="M22" s="169">
        <f t="shared" ref="M22:M29" si="4">L22</f>
        <v>997.9</v>
      </c>
      <c r="N22" s="101">
        <v>1050.5999999999999</v>
      </c>
      <c r="O22" s="101">
        <v>1033.5999999999999</v>
      </c>
      <c r="P22" s="101">
        <v>1127</v>
      </c>
      <c r="Q22" s="101">
        <v>1211.5999999999999</v>
      </c>
      <c r="R22" s="169">
        <f t="shared" ref="R22:R29" si="5">Q22</f>
        <v>1211.5999999999999</v>
      </c>
      <c r="S22" s="101">
        <v>1289.4000000000001</v>
      </c>
      <c r="T22" s="101">
        <v>1329.5</v>
      </c>
      <c r="U22" s="101">
        <v>1489.8</v>
      </c>
      <c r="V22" s="101">
        <f>('IS (Bull-Case)'!V9/V51)</f>
        <v>1378.0521345442075</v>
      </c>
      <c r="W22" s="169">
        <f t="shared" ref="W22:W29" si="6">V22</f>
        <v>1378.0521345442075</v>
      </c>
      <c r="X22" s="101">
        <f>('IS (Bull-Case)'!X9/X51)</f>
        <v>1415.9134328241355</v>
      </c>
      <c r="Y22" s="101">
        <f>('IS (Bull-Case)'!Y9/Y51)</f>
        <v>1411.8725045365607</v>
      </c>
      <c r="Z22" s="101">
        <f>('IS (Bull-Case)'!Z9/Z51)</f>
        <v>1643.9611649030892</v>
      </c>
      <c r="AA22" s="101">
        <f>('IS (Bull-Case)'!AA9/AA51)</f>
        <v>1492.6615330939658</v>
      </c>
      <c r="AB22" s="169">
        <f t="shared" ref="AB22:AB29" si="7">AA22</f>
        <v>1492.6615330939658</v>
      </c>
      <c r="AC22" s="101">
        <f>('IS (Bull-Case)'!AC9/AC51)</f>
        <v>1561.1356782813284</v>
      </c>
      <c r="AD22" s="101">
        <f>('IS (Bull-Case)'!AD9/AD51)</f>
        <v>1549.3006910758079</v>
      </c>
      <c r="AE22" s="101">
        <f>('IS (Bull-Case)'!AE9/AE51)</f>
        <v>1775.2180631796796</v>
      </c>
      <c r="AF22" s="101">
        <f>('IS (Bull-Case)'!AF9/AF51)</f>
        <v>1684.2596019940386</v>
      </c>
      <c r="AG22" s="169">
        <f t="shared" ref="AG22:AG29" si="8">AF22</f>
        <v>1684.2596019940386</v>
      </c>
      <c r="AH22" s="101">
        <f>('IS (Bull-Case)'!AH9/AH51)</f>
        <v>1735.6497242358387</v>
      </c>
      <c r="AI22" s="101">
        <f>('IS (Bull-Case)'!AI9/AI51)</f>
        <v>1731.4639864748706</v>
      </c>
      <c r="AJ22" s="101">
        <f>('IS (Bull-Case)'!AJ9/AJ51)</f>
        <v>2005.7264455826662</v>
      </c>
      <c r="AK22" s="101">
        <f>('IS (Bull-Case)'!AK9/AK51)</f>
        <v>1899.5274792858008</v>
      </c>
      <c r="AL22" s="169">
        <f t="shared" ref="AL22:AL29" si="9">AK22</f>
        <v>1899.5274792858008</v>
      </c>
      <c r="AM22" s="101">
        <f>('IS (Bull-Case)'!AM9/AM51)</f>
        <v>1901.6203426009363</v>
      </c>
      <c r="AN22" s="101">
        <f>('IS (Bull-Case)'!AN9/AN51)</f>
        <v>1875.7512787322958</v>
      </c>
      <c r="AO22" s="101">
        <f>('IS (Bull-Case)'!AO9/AO51)</f>
        <v>2163.0059356073493</v>
      </c>
      <c r="AP22" s="101">
        <f>('IS (Bull-Case)'!AP9/AP51)</f>
        <v>2048.9923307284389</v>
      </c>
      <c r="AQ22" s="169">
        <f t="shared" ref="AQ22:AQ29" si="10">AP22</f>
        <v>2048.9923307284389</v>
      </c>
      <c r="AR22" s="101">
        <f>('IS (Bull-Case)'!AR9/AR51)</f>
        <v>2027.1832023347672</v>
      </c>
      <c r="AS22" s="101">
        <f>('IS (Bull-Case)'!AS9/AS51)</f>
        <v>1999.6746359792762</v>
      </c>
      <c r="AT22" s="101">
        <f>('IS (Bull-Case)'!AT9/AT51)</f>
        <v>2295.4856199128385</v>
      </c>
      <c r="AU22" s="101">
        <f>('IS (Bull-Case)'!AU9/AU51)</f>
        <v>2179.2531199411083</v>
      </c>
      <c r="AV22" s="169">
        <f t="shared" ref="AV22:AV29" si="11">AU22</f>
        <v>2179.2531199411083</v>
      </c>
    </row>
    <row r="23" spans="1:48" outlineLevel="1" x14ac:dyDescent="0.3">
      <c r="A23" s="161"/>
      <c r="B23" s="435" t="s">
        <v>230</v>
      </c>
      <c r="C23" s="436"/>
      <c r="D23" s="101">
        <v>2564</v>
      </c>
      <c r="E23" s="101">
        <v>2569.3000000000002</v>
      </c>
      <c r="F23" s="101">
        <v>3238.7</v>
      </c>
      <c r="G23" s="101">
        <v>1753.7</v>
      </c>
      <c r="H23" s="169">
        <f t="shared" si="3"/>
        <v>1753.7</v>
      </c>
      <c r="I23" s="101">
        <v>1637.8</v>
      </c>
      <c r="J23" s="101">
        <v>1539</v>
      </c>
      <c r="K23" s="101">
        <v>1511.7</v>
      </c>
      <c r="L23" s="101">
        <v>1160.7</v>
      </c>
      <c r="M23" s="169">
        <f t="shared" si="4"/>
        <v>1160.7</v>
      </c>
      <c r="N23" s="101">
        <v>1616.9</v>
      </c>
      <c r="O23" s="101">
        <v>1771.6</v>
      </c>
      <c r="P23" s="101">
        <v>1791.4</v>
      </c>
      <c r="Q23" s="101">
        <v>1973.2</v>
      </c>
      <c r="R23" s="169">
        <f t="shared" si="5"/>
        <v>1973.2</v>
      </c>
      <c r="S23" s="101">
        <v>2444.3000000000002</v>
      </c>
      <c r="T23" s="101">
        <v>2092.4</v>
      </c>
      <c r="U23" s="101">
        <v>2068.9</v>
      </c>
      <c r="V23" s="33">
        <f>U23</f>
        <v>2068.9</v>
      </c>
      <c r="W23" s="169">
        <f t="shared" si="6"/>
        <v>2068.9</v>
      </c>
      <c r="X23" s="33">
        <f>V23</f>
        <v>2068.9</v>
      </c>
      <c r="Y23" s="33">
        <f>X23</f>
        <v>2068.9</v>
      </c>
      <c r="Z23" s="33">
        <f>Y23</f>
        <v>2068.9</v>
      </c>
      <c r="AA23" s="33">
        <f>Z23</f>
        <v>2068.9</v>
      </c>
      <c r="AB23" s="169">
        <f t="shared" si="7"/>
        <v>2068.9</v>
      </c>
      <c r="AC23" s="33">
        <f>AA23</f>
        <v>2068.9</v>
      </c>
      <c r="AD23" s="33">
        <f>AC23</f>
        <v>2068.9</v>
      </c>
      <c r="AE23" s="33">
        <f>AD23</f>
        <v>2068.9</v>
      </c>
      <c r="AF23" s="33">
        <f>AE23</f>
        <v>2068.9</v>
      </c>
      <c r="AG23" s="169">
        <f t="shared" si="8"/>
        <v>2068.9</v>
      </c>
      <c r="AH23" s="33">
        <f>AF23</f>
        <v>2068.9</v>
      </c>
      <c r="AI23" s="33">
        <f>AH23</f>
        <v>2068.9</v>
      </c>
      <c r="AJ23" s="33">
        <f>AI23</f>
        <v>2068.9</v>
      </c>
      <c r="AK23" s="33">
        <f>AJ23</f>
        <v>2068.9</v>
      </c>
      <c r="AL23" s="169">
        <f t="shared" si="9"/>
        <v>2068.9</v>
      </c>
      <c r="AM23" s="33">
        <f>AK23</f>
        <v>2068.9</v>
      </c>
      <c r="AN23" s="33">
        <f>AM23</f>
        <v>2068.9</v>
      </c>
      <c r="AO23" s="33">
        <f>AN23</f>
        <v>2068.9</v>
      </c>
      <c r="AP23" s="33">
        <f>AO23</f>
        <v>2068.9</v>
      </c>
      <c r="AQ23" s="169">
        <f t="shared" si="10"/>
        <v>2068.9</v>
      </c>
      <c r="AR23" s="33">
        <f>AP23</f>
        <v>2068.9</v>
      </c>
      <c r="AS23" s="33">
        <f>AR23</f>
        <v>2068.9</v>
      </c>
      <c r="AT23" s="33">
        <f>AS23</f>
        <v>2068.9</v>
      </c>
      <c r="AU23" s="33">
        <f>AT23</f>
        <v>2068.9</v>
      </c>
      <c r="AV23" s="169">
        <f t="shared" si="11"/>
        <v>2068.9</v>
      </c>
    </row>
    <row r="24" spans="1:48" outlineLevel="1" x14ac:dyDescent="0.3">
      <c r="A24" s="161"/>
      <c r="B24" s="200" t="s">
        <v>231</v>
      </c>
      <c r="C24" s="201"/>
      <c r="D24" s="101">
        <v>0</v>
      </c>
      <c r="E24" s="101">
        <v>0</v>
      </c>
      <c r="F24" s="101">
        <v>0</v>
      </c>
      <c r="G24" s="101">
        <v>664.6</v>
      </c>
      <c r="H24" s="169">
        <f t="shared" si="3"/>
        <v>664.6</v>
      </c>
      <c r="I24" s="101">
        <v>578.5</v>
      </c>
      <c r="J24" s="101">
        <v>596.1</v>
      </c>
      <c r="K24" s="101">
        <v>652.1</v>
      </c>
      <c r="L24" s="101">
        <v>696</v>
      </c>
      <c r="M24" s="169">
        <f t="shared" si="4"/>
        <v>696</v>
      </c>
      <c r="N24" s="101">
        <v>685.3</v>
      </c>
      <c r="O24" s="101">
        <v>646.1</v>
      </c>
      <c r="P24" s="101">
        <v>741</v>
      </c>
      <c r="Q24" s="101">
        <v>772.3</v>
      </c>
      <c r="R24" s="169">
        <f t="shared" si="5"/>
        <v>772.3</v>
      </c>
      <c r="S24" s="101">
        <v>664.1</v>
      </c>
      <c r="T24" s="101">
        <v>665.9</v>
      </c>
      <c r="U24" s="101">
        <v>706.8</v>
      </c>
      <c r="V24" s="33">
        <f>U24</f>
        <v>706.8</v>
      </c>
      <c r="W24" s="169">
        <f t="shared" si="6"/>
        <v>706.8</v>
      </c>
      <c r="X24" s="33">
        <f>V24</f>
        <v>706.8</v>
      </c>
      <c r="Y24" s="33">
        <f t="shared" ref="Y24:AA25" si="12">X24</f>
        <v>706.8</v>
      </c>
      <c r="Z24" s="33">
        <f t="shared" si="12"/>
        <v>706.8</v>
      </c>
      <c r="AA24" s="33">
        <f t="shared" si="12"/>
        <v>706.8</v>
      </c>
      <c r="AB24" s="169">
        <f t="shared" si="7"/>
        <v>706.8</v>
      </c>
      <c r="AC24" s="33">
        <f>AA24</f>
        <v>706.8</v>
      </c>
      <c r="AD24" s="33">
        <f t="shared" ref="AD24:AF25" si="13">AC24</f>
        <v>706.8</v>
      </c>
      <c r="AE24" s="33">
        <f t="shared" si="13"/>
        <v>706.8</v>
      </c>
      <c r="AF24" s="33">
        <f t="shared" si="13"/>
        <v>706.8</v>
      </c>
      <c r="AG24" s="169">
        <f t="shared" si="8"/>
        <v>706.8</v>
      </c>
      <c r="AH24" s="33">
        <f>AF24</f>
        <v>706.8</v>
      </c>
      <c r="AI24" s="33">
        <f t="shared" ref="AI24:AK25" si="14">AH24</f>
        <v>706.8</v>
      </c>
      <c r="AJ24" s="33">
        <f t="shared" si="14"/>
        <v>706.8</v>
      </c>
      <c r="AK24" s="33">
        <f t="shared" si="14"/>
        <v>706.8</v>
      </c>
      <c r="AL24" s="169">
        <f t="shared" si="9"/>
        <v>706.8</v>
      </c>
      <c r="AM24" s="33">
        <f>AK24</f>
        <v>706.8</v>
      </c>
      <c r="AN24" s="33">
        <f t="shared" ref="AN24:AP25" si="15">AM24</f>
        <v>706.8</v>
      </c>
      <c r="AO24" s="33">
        <f t="shared" si="15"/>
        <v>706.8</v>
      </c>
      <c r="AP24" s="33">
        <f t="shared" si="15"/>
        <v>706.8</v>
      </c>
      <c r="AQ24" s="169">
        <f t="shared" si="10"/>
        <v>706.8</v>
      </c>
      <c r="AR24" s="33">
        <f>AP24</f>
        <v>706.8</v>
      </c>
      <c r="AS24" s="33">
        <f t="shared" ref="AS24:AU25" si="16">AR24</f>
        <v>706.8</v>
      </c>
      <c r="AT24" s="33">
        <f t="shared" si="16"/>
        <v>706.8</v>
      </c>
      <c r="AU24" s="33">
        <f t="shared" si="16"/>
        <v>706.8</v>
      </c>
      <c r="AV24" s="169">
        <f t="shared" si="11"/>
        <v>706.8</v>
      </c>
    </row>
    <row r="25" spans="1:48" outlineLevel="1" x14ac:dyDescent="0.3">
      <c r="A25" s="161"/>
      <c r="B25" s="200" t="s">
        <v>232</v>
      </c>
      <c r="C25" s="201"/>
      <c r="D25" s="101">
        <v>0</v>
      </c>
      <c r="E25" s="101">
        <v>0</v>
      </c>
      <c r="F25" s="101">
        <v>0</v>
      </c>
      <c r="G25" s="101">
        <v>1291.7</v>
      </c>
      <c r="H25" s="169">
        <f t="shared" si="3"/>
        <v>1291.7</v>
      </c>
      <c r="I25" s="101">
        <v>1414</v>
      </c>
      <c r="J25" s="101">
        <v>86.7</v>
      </c>
      <c r="K25" s="101">
        <v>90.9</v>
      </c>
      <c r="L25" s="101">
        <v>98.2</v>
      </c>
      <c r="M25" s="169">
        <f t="shared" si="4"/>
        <v>98.2</v>
      </c>
      <c r="N25" s="101">
        <v>149.69999999999999</v>
      </c>
      <c r="O25" s="101">
        <v>117</v>
      </c>
      <c r="P25" s="101">
        <v>204.8</v>
      </c>
      <c r="Q25" s="101">
        <v>348</v>
      </c>
      <c r="R25" s="169">
        <f t="shared" si="5"/>
        <v>348</v>
      </c>
      <c r="S25" s="101"/>
      <c r="T25" s="101">
        <f>S25</f>
        <v>0</v>
      </c>
      <c r="U25" s="101">
        <f>T25</f>
        <v>0</v>
      </c>
      <c r="V25" s="33">
        <f>U25</f>
        <v>0</v>
      </c>
      <c r="W25" s="169">
        <f t="shared" si="6"/>
        <v>0</v>
      </c>
      <c r="X25" s="33">
        <f>V25</f>
        <v>0</v>
      </c>
      <c r="Y25" s="33">
        <f t="shared" si="12"/>
        <v>0</v>
      </c>
      <c r="Z25" s="33">
        <f t="shared" si="12"/>
        <v>0</v>
      </c>
      <c r="AA25" s="33">
        <f t="shared" si="12"/>
        <v>0</v>
      </c>
      <c r="AB25" s="169">
        <f t="shared" si="7"/>
        <v>0</v>
      </c>
      <c r="AC25" s="33">
        <f>AA25</f>
        <v>0</v>
      </c>
      <c r="AD25" s="33">
        <f t="shared" si="13"/>
        <v>0</v>
      </c>
      <c r="AE25" s="33">
        <f t="shared" si="13"/>
        <v>0</v>
      </c>
      <c r="AF25" s="33">
        <f t="shared" si="13"/>
        <v>0</v>
      </c>
      <c r="AG25" s="169">
        <f t="shared" si="8"/>
        <v>0</v>
      </c>
      <c r="AH25" s="33">
        <f>AF25</f>
        <v>0</v>
      </c>
      <c r="AI25" s="33">
        <f t="shared" si="14"/>
        <v>0</v>
      </c>
      <c r="AJ25" s="33">
        <f t="shared" si="14"/>
        <v>0</v>
      </c>
      <c r="AK25" s="33">
        <f t="shared" si="14"/>
        <v>0</v>
      </c>
      <c r="AL25" s="169">
        <f t="shared" si="9"/>
        <v>0</v>
      </c>
      <c r="AM25" s="33">
        <f>AK25</f>
        <v>0</v>
      </c>
      <c r="AN25" s="33">
        <f t="shared" si="15"/>
        <v>0</v>
      </c>
      <c r="AO25" s="33">
        <f t="shared" si="15"/>
        <v>0</v>
      </c>
      <c r="AP25" s="33">
        <f t="shared" si="15"/>
        <v>0</v>
      </c>
      <c r="AQ25" s="169">
        <f t="shared" si="10"/>
        <v>0</v>
      </c>
      <c r="AR25" s="33">
        <f>AP25</f>
        <v>0</v>
      </c>
      <c r="AS25" s="33">
        <f t="shared" si="16"/>
        <v>0</v>
      </c>
      <c r="AT25" s="33">
        <f t="shared" si="16"/>
        <v>0</v>
      </c>
      <c r="AU25" s="33">
        <f t="shared" si="16"/>
        <v>0</v>
      </c>
      <c r="AV25" s="169">
        <f t="shared" si="11"/>
        <v>0</v>
      </c>
    </row>
    <row r="26" spans="1:48" outlineLevel="1" x14ac:dyDescent="0.3">
      <c r="A26" s="161"/>
      <c r="B26" s="200" t="s">
        <v>233</v>
      </c>
      <c r="C26" s="201"/>
      <c r="D26" s="101">
        <v>0</v>
      </c>
      <c r="E26" s="101">
        <v>0</v>
      </c>
      <c r="F26" s="101">
        <v>0</v>
      </c>
      <c r="G26" s="101">
        <v>0</v>
      </c>
      <c r="H26" s="169">
        <f t="shared" si="3"/>
        <v>0</v>
      </c>
      <c r="I26" s="101">
        <v>1268.9000000000001</v>
      </c>
      <c r="J26" s="101">
        <v>1253.5</v>
      </c>
      <c r="K26" s="101">
        <v>1237.0999999999999</v>
      </c>
      <c r="L26" s="101">
        <v>1248.8</v>
      </c>
      <c r="M26" s="169">
        <f t="shared" si="4"/>
        <v>1248.8</v>
      </c>
      <c r="N26" s="101">
        <v>1267.5999999999999</v>
      </c>
      <c r="O26" s="101">
        <v>1296.4000000000001</v>
      </c>
      <c r="P26" s="101">
        <v>1308.4000000000001</v>
      </c>
      <c r="Q26" s="101">
        <v>1251.3</v>
      </c>
      <c r="R26" s="169">
        <f t="shared" si="5"/>
        <v>1251.3</v>
      </c>
      <c r="S26" s="101">
        <v>1253.3</v>
      </c>
      <c r="T26" s="101">
        <v>1236.3</v>
      </c>
      <c r="U26" s="101">
        <v>1214.8</v>
      </c>
      <c r="V26" s="33">
        <f>U26*0.996</f>
        <v>1209.9407999999999</v>
      </c>
      <c r="W26" s="169">
        <f t="shared" si="6"/>
        <v>1209.9407999999999</v>
      </c>
      <c r="X26" s="33">
        <f>V26*0.996</f>
        <v>1205.1010367999997</v>
      </c>
      <c r="Y26" s="33">
        <f>X26*0.996</f>
        <v>1200.2806326527998</v>
      </c>
      <c r="Z26" s="33">
        <f>Y26*0.996</f>
        <v>1195.4795101221887</v>
      </c>
      <c r="AA26" s="33">
        <f>Z26*0.996</f>
        <v>1190.6975920816999</v>
      </c>
      <c r="AB26" s="169">
        <f t="shared" si="7"/>
        <v>1190.6975920816999</v>
      </c>
      <c r="AC26" s="33">
        <f>AA26*0.996</f>
        <v>1185.9348017133732</v>
      </c>
      <c r="AD26" s="33">
        <f>AC26*0.996</f>
        <v>1181.1910625065198</v>
      </c>
      <c r="AE26" s="33">
        <f>AD26*0.996</f>
        <v>1176.4662982564937</v>
      </c>
      <c r="AF26" s="33">
        <f>AE26*0.996</f>
        <v>1171.7604330634676</v>
      </c>
      <c r="AG26" s="169">
        <f t="shared" si="8"/>
        <v>1171.7604330634676</v>
      </c>
      <c r="AH26" s="33">
        <f>AF26*0.996</f>
        <v>1167.0733913312138</v>
      </c>
      <c r="AI26" s="33">
        <f>AH26*0.996</f>
        <v>1162.405097765889</v>
      </c>
      <c r="AJ26" s="33">
        <f>AI26*0.996</f>
        <v>1157.7554773748254</v>
      </c>
      <c r="AK26" s="33">
        <f>AJ26*0.996</f>
        <v>1153.124455465326</v>
      </c>
      <c r="AL26" s="169">
        <f t="shared" si="9"/>
        <v>1153.124455465326</v>
      </c>
      <c r="AM26" s="33">
        <f>AK26*0.996</f>
        <v>1148.5119576434647</v>
      </c>
      <c r="AN26" s="33">
        <f>AM26*0.996</f>
        <v>1143.9179098128909</v>
      </c>
      <c r="AO26" s="33">
        <f>AN26*0.996</f>
        <v>1139.3422381736393</v>
      </c>
      <c r="AP26" s="33">
        <f>AO26*0.996</f>
        <v>1134.7848692209448</v>
      </c>
      <c r="AQ26" s="169">
        <f t="shared" si="10"/>
        <v>1134.7848692209448</v>
      </c>
      <c r="AR26" s="33">
        <f>AP26*0.996</f>
        <v>1130.245729744061</v>
      </c>
      <c r="AS26" s="33">
        <f>AR26*0.996</f>
        <v>1125.7247468250848</v>
      </c>
      <c r="AT26" s="33">
        <f>AS26*0.996</f>
        <v>1121.2218478377845</v>
      </c>
      <c r="AU26" s="33">
        <f>AT26*0.996</f>
        <v>1116.7369604464334</v>
      </c>
      <c r="AV26" s="169">
        <f t="shared" si="11"/>
        <v>1116.7369604464334</v>
      </c>
    </row>
    <row r="27" spans="1:48" outlineLevel="1" x14ac:dyDescent="0.3">
      <c r="A27" s="161"/>
      <c r="B27" s="200" t="s">
        <v>234</v>
      </c>
      <c r="C27" s="201"/>
      <c r="D27" s="101">
        <v>1554.2</v>
      </c>
      <c r="E27" s="101">
        <v>1311.4</v>
      </c>
      <c r="F27" s="101">
        <v>1300.2</v>
      </c>
      <c r="G27" s="101">
        <v>1269</v>
      </c>
      <c r="H27" s="169">
        <f t="shared" si="3"/>
        <v>1269</v>
      </c>
      <c r="I27" s="101">
        <v>1694.1</v>
      </c>
      <c r="J27" s="101">
        <v>1436.3</v>
      </c>
      <c r="K27" s="101">
        <v>1463.3</v>
      </c>
      <c r="L27" s="101">
        <v>1456.5</v>
      </c>
      <c r="M27" s="169">
        <f t="shared" si="4"/>
        <v>1456.5</v>
      </c>
      <c r="N27" s="101">
        <v>1871.2</v>
      </c>
      <c r="O27" s="101">
        <v>1622.1</v>
      </c>
      <c r="P27" s="101">
        <v>1628.3</v>
      </c>
      <c r="Q27" s="101">
        <v>1596.1</v>
      </c>
      <c r="R27" s="169">
        <f t="shared" si="5"/>
        <v>1596.1</v>
      </c>
      <c r="S27" s="101">
        <v>2070.6999999999998</v>
      </c>
      <c r="T27" s="101">
        <v>1781.6</v>
      </c>
      <c r="U27" s="101">
        <v>1723</v>
      </c>
      <c r="V27" s="33">
        <f>U27*0.99</f>
        <v>1705.77</v>
      </c>
      <c r="W27" s="169">
        <f t="shared" si="6"/>
        <v>1705.77</v>
      </c>
      <c r="X27" s="33">
        <f>V27*1.3</f>
        <v>2217.5010000000002</v>
      </c>
      <c r="Y27" s="33">
        <f>X27*0.85</f>
        <v>1884.8758500000001</v>
      </c>
      <c r="Z27" s="33">
        <f>Y27*0.99</f>
        <v>1866.0270915000001</v>
      </c>
      <c r="AA27" s="33">
        <f>Z27*0.99</f>
        <v>1847.3668205850001</v>
      </c>
      <c r="AB27" s="169">
        <f t="shared" si="7"/>
        <v>1847.3668205850001</v>
      </c>
      <c r="AC27" s="33">
        <f>AA27*1.3</f>
        <v>2401.5768667605003</v>
      </c>
      <c r="AD27" s="33">
        <f>AC27*0.85</f>
        <v>2041.3403367464252</v>
      </c>
      <c r="AE27" s="33">
        <f>AD27*0.99</f>
        <v>2020.9269333789609</v>
      </c>
      <c r="AF27" s="33">
        <f>AE27*0.99</f>
        <v>2000.7176640451712</v>
      </c>
      <c r="AG27" s="169">
        <f t="shared" si="8"/>
        <v>2000.7176640451712</v>
      </c>
      <c r="AH27" s="33">
        <f>AF27*1.3</f>
        <v>2600.9329632587228</v>
      </c>
      <c r="AI27" s="33">
        <f>AH27*0.85</f>
        <v>2210.7930187699144</v>
      </c>
      <c r="AJ27" s="33">
        <f>AI27*0.99</f>
        <v>2188.685088582215</v>
      </c>
      <c r="AK27" s="33">
        <f>AJ27*0.99</f>
        <v>2166.7982376963928</v>
      </c>
      <c r="AL27" s="169">
        <f t="shared" si="9"/>
        <v>2166.7982376963928</v>
      </c>
      <c r="AM27" s="33">
        <f>AK27*1.3</f>
        <v>2816.8377090053109</v>
      </c>
      <c r="AN27" s="33">
        <f>AM27*0.85</f>
        <v>2394.312052654514</v>
      </c>
      <c r="AO27" s="33">
        <f>AN27*0.99</f>
        <v>2370.3689321279689</v>
      </c>
      <c r="AP27" s="33">
        <f>AO27*0.99</f>
        <v>2346.6652428066891</v>
      </c>
      <c r="AQ27" s="169">
        <f t="shared" si="10"/>
        <v>2346.6652428066891</v>
      </c>
      <c r="AR27" s="33">
        <f>AP27*1.3</f>
        <v>3050.6648156486958</v>
      </c>
      <c r="AS27" s="33">
        <f>AR27*0.85</f>
        <v>2593.0650933013912</v>
      </c>
      <c r="AT27" s="33">
        <f>AS27*0.99</f>
        <v>2567.1344423683772</v>
      </c>
      <c r="AU27" s="33">
        <f>AT27*0.99</f>
        <v>2541.4630979446933</v>
      </c>
      <c r="AV27" s="169">
        <f t="shared" si="11"/>
        <v>2541.4630979446933</v>
      </c>
    </row>
    <row r="28" spans="1:48" outlineLevel="1" x14ac:dyDescent="0.3">
      <c r="A28" s="161"/>
      <c r="B28" s="200" t="s">
        <v>235</v>
      </c>
      <c r="C28" s="201"/>
      <c r="D28" s="101">
        <v>0</v>
      </c>
      <c r="E28" s="101">
        <f>75+0</f>
        <v>75</v>
      </c>
      <c r="F28" s="101">
        <v>0</v>
      </c>
      <c r="G28" s="101">
        <v>0</v>
      </c>
      <c r="H28" s="169">
        <f t="shared" si="3"/>
        <v>0</v>
      </c>
      <c r="I28" s="101">
        <f>497.9+498.7</f>
        <v>996.59999999999991</v>
      </c>
      <c r="J28" s="101">
        <f>1107.1+1249.4</f>
        <v>2356.5</v>
      </c>
      <c r="K28" s="101">
        <f>936.5+1249.6</f>
        <v>2186.1</v>
      </c>
      <c r="L28" s="101">
        <f>438.8+1249.9</f>
        <v>1688.7</v>
      </c>
      <c r="M28" s="169">
        <f t="shared" si="4"/>
        <v>1688.7</v>
      </c>
      <c r="N28" s="101">
        <f>492.6+750</f>
        <v>1242.5999999999999</v>
      </c>
      <c r="O28" s="101">
        <v>18.3</v>
      </c>
      <c r="P28" s="101">
        <v>998.9</v>
      </c>
      <c r="Q28" s="101">
        <v>998.9</v>
      </c>
      <c r="R28" s="169">
        <f t="shared" si="5"/>
        <v>998.9</v>
      </c>
      <c r="S28" s="101">
        <f>200+999.3</f>
        <v>1199.3</v>
      </c>
      <c r="T28" s="101">
        <v>1998.6</v>
      </c>
      <c r="U28" s="101">
        <f>200+999.1</f>
        <v>1199.0999999999999</v>
      </c>
      <c r="V28" s="33">
        <f>U28-V59+V60</f>
        <v>1000.0999999999999</v>
      </c>
      <c r="W28" s="169">
        <f t="shared" si="6"/>
        <v>1000.0999999999999</v>
      </c>
      <c r="X28" s="33">
        <f>V28-X59+X60</f>
        <v>1000.0999999999999</v>
      </c>
      <c r="Y28" s="33">
        <f>X28-Y59+Y60</f>
        <v>750.09999999999991</v>
      </c>
      <c r="Z28" s="33">
        <f t="shared" ref="Z28:AA28" si="17">Y28-Z59+Z60</f>
        <v>1876.3999999999999</v>
      </c>
      <c r="AA28" s="33">
        <f t="shared" si="17"/>
        <v>1876.3999999999999</v>
      </c>
      <c r="AB28" s="169">
        <f t="shared" si="7"/>
        <v>1876.3999999999999</v>
      </c>
      <c r="AC28" s="33">
        <f>AA28-AC59+AC60</f>
        <v>1126.3999999999999</v>
      </c>
      <c r="AD28" s="33">
        <f t="shared" ref="AD28:AF28" si="18">AC28-AD59+AD60</f>
        <v>9.9999999999909051E-2</v>
      </c>
      <c r="AE28" s="33">
        <f t="shared" si="18"/>
        <v>9.9999999999909051E-2</v>
      </c>
      <c r="AF28" s="33">
        <f t="shared" si="18"/>
        <v>9.9999999999909051E-2</v>
      </c>
      <c r="AG28" s="169">
        <f t="shared" si="8"/>
        <v>9.9999999999909051E-2</v>
      </c>
      <c r="AH28" s="33">
        <f>AF28-AH59+AH60</f>
        <v>1250.0999999999999</v>
      </c>
      <c r="AI28" s="33">
        <f t="shared" ref="AI28:AK28" si="19">AH28-AI59+AI60</f>
        <v>1250.0999999999999</v>
      </c>
      <c r="AJ28" s="33">
        <f t="shared" si="19"/>
        <v>1250.0999999999999</v>
      </c>
      <c r="AK28" s="33">
        <f t="shared" si="19"/>
        <v>500.09999999999991</v>
      </c>
      <c r="AL28" s="169">
        <f t="shared" si="9"/>
        <v>500.09999999999991</v>
      </c>
      <c r="AM28" s="33">
        <f>AK28-AM59+AM60</f>
        <v>500.09999999999991</v>
      </c>
      <c r="AN28" s="33">
        <f t="shared" ref="AN28:AP28" si="20">AM28-AN59+AN60</f>
        <v>500.09999999999991</v>
      </c>
      <c r="AO28" s="33">
        <f t="shared" si="20"/>
        <v>500.09999999999991</v>
      </c>
      <c r="AP28" s="33">
        <f t="shared" si="20"/>
        <v>500.09999999999991</v>
      </c>
      <c r="AQ28" s="169">
        <f t="shared" si="10"/>
        <v>500.09999999999991</v>
      </c>
      <c r="AR28" s="33">
        <f>AP28-AR59+AR60</f>
        <v>500.09999999999991</v>
      </c>
      <c r="AS28" s="33">
        <f t="shared" ref="AS28:AU28" si="21">AR28-AS59+AS60</f>
        <v>9.9999999999909051E-2</v>
      </c>
      <c r="AT28" s="33">
        <f t="shared" si="21"/>
        <v>9.9999999999909051E-2</v>
      </c>
      <c r="AU28" s="33">
        <f t="shared" si="21"/>
        <v>9.9999999999909051E-2</v>
      </c>
      <c r="AV28" s="169">
        <f t="shared" si="11"/>
        <v>9.9999999999909051E-2</v>
      </c>
    </row>
    <row r="29" spans="1:48" ht="16.2" outlineLevel="1" x14ac:dyDescent="0.45">
      <c r="A29" s="161"/>
      <c r="B29" s="200" t="s">
        <v>236</v>
      </c>
      <c r="C29" s="201"/>
      <c r="D29" s="112">
        <v>208.8</v>
      </c>
      <c r="E29" s="112">
        <v>221</v>
      </c>
      <c r="F29" s="112">
        <v>211.5</v>
      </c>
      <c r="G29" s="112">
        <v>0</v>
      </c>
      <c r="H29" s="262">
        <f t="shared" si="3"/>
        <v>0</v>
      </c>
      <c r="I29" s="112">
        <v>0</v>
      </c>
      <c r="J29" s="112">
        <v>0</v>
      </c>
      <c r="K29" s="112">
        <v>0</v>
      </c>
      <c r="L29" s="112">
        <v>0</v>
      </c>
      <c r="M29" s="262">
        <f t="shared" si="4"/>
        <v>0</v>
      </c>
      <c r="N29" s="112">
        <v>0</v>
      </c>
      <c r="O29" s="112">
        <v>0</v>
      </c>
      <c r="P29" s="112">
        <v>0</v>
      </c>
      <c r="Q29" s="112">
        <v>0</v>
      </c>
      <c r="R29" s="262">
        <f t="shared" si="5"/>
        <v>0</v>
      </c>
      <c r="S29" s="112">
        <v>0</v>
      </c>
      <c r="T29" s="112">
        <v>0</v>
      </c>
      <c r="U29" s="112">
        <v>0</v>
      </c>
      <c r="V29" s="32">
        <v>0</v>
      </c>
      <c r="W29" s="262">
        <f t="shared" si="6"/>
        <v>0</v>
      </c>
      <c r="X29" s="32">
        <v>0</v>
      </c>
      <c r="Y29" s="32">
        <v>0</v>
      </c>
      <c r="Z29" s="32">
        <v>0</v>
      </c>
      <c r="AA29" s="32">
        <v>0</v>
      </c>
      <c r="AB29" s="262">
        <f t="shared" si="7"/>
        <v>0</v>
      </c>
      <c r="AC29" s="32">
        <v>0</v>
      </c>
      <c r="AD29" s="32">
        <v>0</v>
      </c>
      <c r="AE29" s="32">
        <v>0</v>
      </c>
      <c r="AF29" s="32">
        <v>0</v>
      </c>
      <c r="AG29" s="262">
        <f t="shared" si="8"/>
        <v>0</v>
      </c>
      <c r="AH29" s="32">
        <v>0</v>
      </c>
      <c r="AI29" s="32">
        <v>0</v>
      </c>
      <c r="AJ29" s="32">
        <v>0</v>
      </c>
      <c r="AK29" s="32">
        <v>0</v>
      </c>
      <c r="AL29" s="262">
        <f t="shared" si="9"/>
        <v>0</v>
      </c>
      <c r="AM29" s="32">
        <v>0</v>
      </c>
      <c r="AN29" s="32">
        <v>0</v>
      </c>
      <c r="AO29" s="32">
        <v>0</v>
      </c>
      <c r="AP29" s="32">
        <v>0</v>
      </c>
      <c r="AQ29" s="262">
        <f t="shared" si="10"/>
        <v>0</v>
      </c>
      <c r="AR29" s="32">
        <v>0</v>
      </c>
      <c r="AS29" s="32">
        <v>0</v>
      </c>
      <c r="AT29" s="32">
        <v>0</v>
      </c>
      <c r="AU29" s="32">
        <v>0</v>
      </c>
      <c r="AV29" s="262">
        <f t="shared" si="11"/>
        <v>0</v>
      </c>
    </row>
    <row r="30" spans="1:48" outlineLevel="1" x14ac:dyDescent="0.3">
      <c r="A30" s="161"/>
      <c r="B30" s="205" t="s">
        <v>237</v>
      </c>
      <c r="C30" s="201"/>
      <c r="D30" s="116">
        <f t="shared" ref="D30:K30" si="22">SUM(D22:D29)</f>
        <v>5427.5</v>
      </c>
      <c r="E30" s="116">
        <f t="shared" si="22"/>
        <v>5273.4</v>
      </c>
      <c r="F30" s="116">
        <f t="shared" si="22"/>
        <v>5895.8</v>
      </c>
      <c r="G30" s="116">
        <f t="shared" si="22"/>
        <v>6168.7</v>
      </c>
      <c r="H30" s="150">
        <f t="shared" si="22"/>
        <v>6168.7</v>
      </c>
      <c r="I30" s="116">
        <f t="shared" si="22"/>
        <v>8675.5</v>
      </c>
      <c r="J30" s="116">
        <f t="shared" si="22"/>
        <v>8265.7999999999993</v>
      </c>
      <c r="K30" s="116">
        <f t="shared" si="22"/>
        <v>8002</v>
      </c>
      <c r="L30" s="116">
        <f t="shared" ref="L30:AV30" si="23">SUM(L22:L28)</f>
        <v>7346.7999999999993</v>
      </c>
      <c r="M30" s="150">
        <f t="shared" si="23"/>
        <v>7346.7999999999993</v>
      </c>
      <c r="N30" s="116">
        <f t="shared" si="23"/>
        <v>7883.9</v>
      </c>
      <c r="O30" s="116">
        <f t="shared" si="23"/>
        <v>6505.0999999999995</v>
      </c>
      <c r="P30" s="116">
        <f t="shared" si="23"/>
        <v>7799.8</v>
      </c>
      <c r="Q30" s="116">
        <f t="shared" si="23"/>
        <v>8151.4</v>
      </c>
      <c r="R30" s="150">
        <f t="shared" si="23"/>
        <v>8151.4</v>
      </c>
      <c r="S30" s="116">
        <f t="shared" si="23"/>
        <v>8921.1</v>
      </c>
      <c r="T30" s="116">
        <f t="shared" si="23"/>
        <v>9104.3000000000011</v>
      </c>
      <c r="U30" s="116">
        <f t="shared" si="23"/>
        <v>8402.4</v>
      </c>
      <c r="V30" s="116">
        <f t="shared" si="23"/>
        <v>8069.5629345442085</v>
      </c>
      <c r="W30" s="150">
        <f t="shared" si="23"/>
        <v>8069.5629345442085</v>
      </c>
      <c r="X30" s="116">
        <f t="shared" si="23"/>
        <v>8614.3154696241363</v>
      </c>
      <c r="Y30" s="116">
        <f t="shared" si="23"/>
        <v>8022.8289871893612</v>
      </c>
      <c r="Z30" s="116">
        <f t="shared" si="23"/>
        <v>9357.5677665252788</v>
      </c>
      <c r="AA30" s="116">
        <f t="shared" si="23"/>
        <v>9182.8259457606655</v>
      </c>
      <c r="AB30" s="150">
        <f t="shared" si="23"/>
        <v>9182.8259457606655</v>
      </c>
      <c r="AC30" s="116">
        <f t="shared" si="23"/>
        <v>9050.7473467552027</v>
      </c>
      <c r="AD30" s="116">
        <f t="shared" si="23"/>
        <v>7547.6320903287542</v>
      </c>
      <c r="AE30" s="116">
        <f t="shared" si="23"/>
        <v>7748.4112948151342</v>
      </c>
      <c r="AF30" s="116">
        <f t="shared" si="23"/>
        <v>7632.5376991026787</v>
      </c>
      <c r="AG30" s="150">
        <f t="shared" si="23"/>
        <v>7632.5376991026787</v>
      </c>
      <c r="AH30" s="116">
        <f t="shared" si="23"/>
        <v>9529.4560788257768</v>
      </c>
      <c r="AI30" s="116">
        <f t="shared" si="23"/>
        <v>9130.4621030106737</v>
      </c>
      <c r="AJ30" s="116">
        <f t="shared" si="23"/>
        <v>9377.9670115397057</v>
      </c>
      <c r="AK30" s="116">
        <f t="shared" si="23"/>
        <v>8495.2501724475187</v>
      </c>
      <c r="AL30" s="150">
        <f t="shared" si="23"/>
        <v>8495.2501724475187</v>
      </c>
      <c r="AM30" s="116">
        <f t="shared" si="23"/>
        <v>9142.7700092497125</v>
      </c>
      <c r="AN30" s="116">
        <f t="shared" si="23"/>
        <v>8689.7812411997002</v>
      </c>
      <c r="AO30" s="116">
        <f t="shared" si="23"/>
        <v>8948.5171059089571</v>
      </c>
      <c r="AP30" s="116">
        <f t="shared" si="23"/>
        <v>8806.2424427560727</v>
      </c>
      <c r="AQ30" s="150">
        <f t="shared" si="23"/>
        <v>8806.2424427560727</v>
      </c>
      <c r="AR30" s="116">
        <f t="shared" si="23"/>
        <v>9483.8937477275249</v>
      </c>
      <c r="AS30" s="116">
        <f t="shared" si="23"/>
        <v>8494.2644761057527</v>
      </c>
      <c r="AT30" s="116">
        <f t="shared" si="23"/>
        <v>8759.6419101190004</v>
      </c>
      <c r="AU30" s="116">
        <f t="shared" si="23"/>
        <v>8613.2531783322356</v>
      </c>
      <c r="AV30" s="150">
        <f t="shared" si="23"/>
        <v>8613.2531783322356</v>
      </c>
    </row>
    <row r="31" spans="1:48" outlineLevel="1" x14ac:dyDescent="0.3">
      <c r="A31" s="161"/>
      <c r="B31" s="200" t="s">
        <v>238</v>
      </c>
      <c r="C31" s="201"/>
      <c r="D31" s="101">
        <v>9130.7000000000007</v>
      </c>
      <c r="E31" s="101">
        <v>9141.5</v>
      </c>
      <c r="F31" s="101">
        <v>11159.1</v>
      </c>
      <c r="G31" s="101">
        <v>11167</v>
      </c>
      <c r="H31" s="169">
        <f>G31</f>
        <v>11167</v>
      </c>
      <c r="I31" s="101">
        <v>10653.2</v>
      </c>
      <c r="J31" s="101">
        <v>11658.7</v>
      </c>
      <c r="K31" s="101">
        <v>14645.6</v>
      </c>
      <c r="L31" s="101">
        <v>14659.6</v>
      </c>
      <c r="M31" s="169">
        <f>L31</f>
        <v>14659.6</v>
      </c>
      <c r="N31" s="101">
        <v>14673.5</v>
      </c>
      <c r="O31" s="101">
        <v>14630.3</v>
      </c>
      <c r="P31" s="101">
        <v>13619.2</v>
      </c>
      <c r="Q31" s="101">
        <v>13616.9</v>
      </c>
      <c r="R31" s="169">
        <f>Q31</f>
        <v>13616.9</v>
      </c>
      <c r="S31" s="101">
        <v>13586.3</v>
      </c>
      <c r="T31" s="101">
        <v>14014.4</v>
      </c>
      <c r="U31" s="101">
        <v>13930.8</v>
      </c>
      <c r="V31" s="33">
        <f>U31-V60+V61</f>
        <v>13930.8</v>
      </c>
      <c r="W31" s="169">
        <f>V31</f>
        <v>13930.8</v>
      </c>
      <c r="X31" s="33">
        <f>V31-X60+X61</f>
        <v>13930.8</v>
      </c>
      <c r="Y31" s="33">
        <f>X31-Y60+Y61</f>
        <v>14180.8</v>
      </c>
      <c r="Z31" s="33">
        <f>Y31-Z60+Z61</f>
        <v>13054.5</v>
      </c>
      <c r="AA31" s="33">
        <f>Z31-AA60+AA61</f>
        <v>13054.5</v>
      </c>
      <c r="AB31" s="169">
        <f>AA31</f>
        <v>13054.5</v>
      </c>
      <c r="AC31" s="33">
        <f>AA31-AC60+AC61</f>
        <v>13804.5</v>
      </c>
      <c r="AD31" s="33">
        <f>AC31-AD60+AD61</f>
        <v>14930.5</v>
      </c>
      <c r="AE31" s="33">
        <f>AD31-AE60+AE61</f>
        <v>14930.5</v>
      </c>
      <c r="AF31" s="33">
        <f>AE31-AF60+AF61</f>
        <v>15030.5</v>
      </c>
      <c r="AG31" s="169">
        <f>AF31</f>
        <v>15030.5</v>
      </c>
      <c r="AH31" s="33">
        <f>AF31-AH60+AH61</f>
        <v>13780.5</v>
      </c>
      <c r="AI31" s="33">
        <f>AH31-AI60+AI61</f>
        <v>13780.5</v>
      </c>
      <c r="AJ31" s="33">
        <f>AI31-AJ60+AJ61</f>
        <v>17605.133937138966</v>
      </c>
      <c r="AK31" s="33">
        <f>AJ31-AK60+AK61</f>
        <v>18355.133937138966</v>
      </c>
      <c r="AL31" s="169">
        <f>AK31</f>
        <v>18355.133937138966</v>
      </c>
      <c r="AM31" s="33">
        <f>AK31-AM60+AM61</f>
        <v>18355.133937138966</v>
      </c>
      <c r="AN31" s="33">
        <f>AM31-AN60+AN61</f>
        <v>18355.133937138966</v>
      </c>
      <c r="AO31" s="33">
        <f>AN31-AO60+AO61</f>
        <v>18355.133937138966</v>
      </c>
      <c r="AP31" s="33">
        <f>AO31-AP60+AP61</f>
        <v>18355.133937138966</v>
      </c>
      <c r="AQ31" s="169">
        <f>AP31</f>
        <v>18355.133937138966</v>
      </c>
      <c r="AR31" s="33">
        <f>AP31-AR60+AR61</f>
        <v>18355.133937138966</v>
      </c>
      <c r="AS31" s="33">
        <f>AR31-AS60+AS61</f>
        <v>18855.133937138966</v>
      </c>
      <c r="AT31" s="33">
        <f>AS31-AT60+AT61</f>
        <v>18855.133937138966</v>
      </c>
      <c r="AU31" s="33">
        <f>AT31-AU60+AU61</f>
        <v>18855.133937138966</v>
      </c>
      <c r="AV31" s="169">
        <f>AU31</f>
        <v>18855.133937138966</v>
      </c>
    </row>
    <row r="32" spans="1:48" outlineLevel="1" x14ac:dyDescent="0.3">
      <c r="A32" s="161"/>
      <c r="B32" s="200" t="s">
        <v>239</v>
      </c>
      <c r="C32" s="207"/>
      <c r="D32" s="101">
        <v>0</v>
      </c>
      <c r="E32" s="101">
        <v>0</v>
      </c>
      <c r="F32" s="101">
        <v>0</v>
      </c>
      <c r="G32" s="101">
        <v>0</v>
      </c>
      <c r="H32" s="169">
        <f>G32</f>
        <v>0</v>
      </c>
      <c r="I32" s="101">
        <v>7711.7</v>
      </c>
      <c r="J32" s="101">
        <v>7650.4</v>
      </c>
      <c r="K32" s="101">
        <v>7653.6</v>
      </c>
      <c r="L32" s="101">
        <v>7661.7</v>
      </c>
      <c r="M32" s="169">
        <f>L32</f>
        <v>7661.7</v>
      </c>
      <c r="N32" s="101">
        <v>7754.5</v>
      </c>
      <c r="O32" s="101">
        <v>7577.7</v>
      </c>
      <c r="P32" s="101">
        <v>7597.8</v>
      </c>
      <c r="Q32" s="101">
        <v>7738</v>
      </c>
      <c r="R32" s="169">
        <f>Q32</f>
        <v>7738</v>
      </c>
      <c r="S32" s="101">
        <v>7708</v>
      </c>
      <c r="T32" s="101">
        <v>7668.5</v>
      </c>
      <c r="U32" s="101">
        <v>7554.4</v>
      </c>
      <c r="V32" s="33">
        <f>U32*0.996</f>
        <v>7524.1823999999997</v>
      </c>
      <c r="W32" s="169">
        <f>V32</f>
        <v>7524.1823999999997</v>
      </c>
      <c r="X32" s="33">
        <f>V32*0.996</f>
        <v>7494.0856703999998</v>
      </c>
      <c r="Y32" s="33">
        <f t="shared" ref="Y32:AA32" si="24">X32*0.996</f>
        <v>7464.1093277184</v>
      </c>
      <c r="Z32" s="33">
        <f t="shared" si="24"/>
        <v>7434.2528904075261</v>
      </c>
      <c r="AA32" s="33">
        <f t="shared" si="24"/>
        <v>7404.5158788458957</v>
      </c>
      <c r="AB32" s="169">
        <f>AA32</f>
        <v>7404.5158788458957</v>
      </c>
      <c r="AC32" s="33">
        <f>AA32*0.996</f>
        <v>7374.8978153305125</v>
      </c>
      <c r="AD32" s="33">
        <f t="shared" ref="AD32:AF32" si="25">AC32*0.996</f>
        <v>7345.3982240691903</v>
      </c>
      <c r="AE32" s="33">
        <f t="shared" si="25"/>
        <v>7316.0166311729135</v>
      </c>
      <c r="AF32" s="33">
        <f t="shared" si="25"/>
        <v>7286.7525646482218</v>
      </c>
      <c r="AG32" s="169">
        <f>AF32</f>
        <v>7286.7525646482218</v>
      </c>
      <c r="AH32" s="33">
        <f>AF32*0.996</f>
        <v>7257.6055543896291</v>
      </c>
      <c r="AI32" s="33">
        <f t="shared" ref="AI32:AK32" si="26">AH32*0.996</f>
        <v>7228.5751321720709</v>
      </c>
      <c r="AJ32" s="33">
        <f t="shared" si="26"/>
        <v>7199.6608316433822</v>
      </c>
      <c r="AK32" s="33">
        <f t="shared" si="26"/>
        <v>7170.8621883168089</v>
      </c>
      <c r="AL32" s="169">
        <f>AK32</f>
        <v>7170.8621883168089</v>
      </c>
      <c r="AM32" s="33">
        <f>AK32*0.996</f>
        <v>7142.178739563542</v>
      </c>
      <c r="AN32" s="33">
        <f t="shared" ref="AN32:AP32" si="27">AM32*0.996</f>
        <v>7113.6100246052874</v>
      </c>
      <c r="AO32" s="33">
        <f t="shared" si="27"/>
        <v>7085.155584506866</v>
      </c>
      <c r="AP32" s="33">
        <f t="shared" si="27"/>
        <v>7056.814962168839</v>
      </c>
      <c r="AQ32" s="169">
        <f>AP32</f>
        <v>7056.814962168839</v>
      </c>
      <c r="AR32" s="33">
        <f>AP32*0.996</f>
        <v>7028.5877023201638</v>
      </c>
      <c r="AS32" s="33">
        <f t="shared" ref="AS32:AU32" si="28">AR32*0.996</f>
        <v>7000.4733515108828</v>
      </c>
      <c r="AT32" s="33">
        <f t="shared" si="28"/>
        <v>6972.4714581048393</v>
      </c>
      <c r="AU32" s="33">
        <f t="shared" si="28"/>
        <v>6944.5815722724201</v>
      </c>
      <c r="AV32" s="169">
        <f>AU32</f>
        <v>6944.5815722724201</v>
      </c>
    </row>
    <row r="33" spans="1:48" outlineLevel="1" x14ac:dyDescent="0.3">
      <c r="A33" s="161"/>
      <c r="B33" s="200" t="s">
        <v>240</v>
      </c>
      <c r="C33" s="207"/>
      <c r="D33" s="101">
        <v>6823.7</v>
      </c>
      <c r="E33" s="101">
        <v>6761.9</v>
      </c>
      <c r="F33" s="101">
        <v>6717.9</v>
      </c>
      <c r="G33" s="101">
        <v>6744.4</v>
      </c>
      <c r="H33" s="169">
        <f>G33</f>
        <v>6744.4</v>
      </c>
      <c r="I33" s="101">
        <v>6748.8</v>
      </c>
      <c r="J33" s="101">
        <v>6685.5</v>
      </c>
      <c r="K33" s="101">
        <v>6642.6</v>
      </c>
      <c r="L33" s="101">
        <v>6598.5</v>
      </c>
      <c r="M33" s="169">
        <f>L33</f>
        <v>6598.5</v>
      </c>
      <c r="N33" s="101">
        <v>6597.7</v>
      </c>
      <c r="O33" s="101">
        <v>6532.1</v>
      </c>
      <c r="P33" s="101">
        <v>6491.4</v>
      </c>
      <c r="Q33" s="101">
        <v>6463</v>
      </c>
      <c r="R33" s="169">
        <f>Q33</f>
        <v>6463</v>
      </c>
      <c r="S33" s="101">
        <v>6447.7</v>
      </c>
      <c r="T33" s="101">
        <v>6381.9</v>
      </c>
      <c r="U33" s="101">
        <v>6333.1</v>
      </c>
      <c r="V33" s="33">
        <f>U33*0.995</f>
        <v>6301.4345000000003</v>
      </c>
      <c r="W33" s="169">
        <f>V33</f>
        <v>6301.4345000000003</v>
      </c>
      <c r="X33" s="33">
        <f>V33*0.995</f>
        <v>6269.9273275000005</v>
      </c>
      <c r="Y33" s="33">
        <f>X33*0.995</f>
        <v>6238.5776908625003</v>
      </c>
      <c r="Z33" s="33">
        <f>Y33*0.995</f>
        <v>6207.3848024081881</v>
      </c>
      <c r="AA33" s="33">
        <f>Z33*0.995</f>
        <v>6176.3478783961473</v>
      </c>
      <c r="AB33" s="169">
        <f>AA33</f>
        <v>6176.3478783961473</v>
      </c>
      <c r="AC33" s="33">
        <f>AA33*0.995</f>
        <v>6145.4661390041665</v>
      </c>
      <c r="AD33" s="33">
        <f>AC33*0.995</f>
        <v>6114.7388083091455</v>
      </c>
      <c r="AE33" s="33">
        <f>AD33*0.995</f>
        <v>6084.1651142676001</v>
      </c>
      <c r="AF33" s="33">
        <f>AE33*0.995</f>
        <v>6053.7442886962617</v>
      </c>
      <c r="AG33" s="169">
        <f>AF33</f>
        <v>6053.7442886962617</v>
      </c>
      <c r="AH33" s="33">
        <f>AF33*0.995</f>
        <v>6023.4755672527808</v>
      </c>
      <c r="AI33" s="33">
        <f>AH33*0.995</f>
        <v>5993.3581894165172</v>
      </c>
      <c r="AJ33" s="33">
        <f>AI33*0.995</f>
        <v>5963.3913984694345</v>
      </c>
      <c r="AK33" s="33">
        <f>AJ33*0.995</f>
        <v>5933.574441477087</v>
      </c>
      <c r="AL33" s="169">
        <f>AK33</f>
        <v>5933.574441477087</v>
      </c>
      <c r="AM33" s="33">
        <f>AK33*0.995</f>
        <v>5903.9065692697013</v>
      </c>
      <c r="AN33" s="33">
        <f>AM33*0.995</f>
        <v>5874.3870364233526</v>
      </c>
      <c r="AO33" s="33">
        <f>AN33*0.995</f>
        <v>5845.0151012412362</v>
      </c>
      <c r="AP33" s="33">
        <f>AO33*0.995</f>
        <v>5815.7900257350302</v>
      </c>
      <c r="AQ33" s="169">
        <f>AP33</f>
        <v>5815.7900257350302</v>
      </c>
      <c r="AR33" s="33">
        <f>AP33*0.995</f>
        <v>5786.7110756063548</v>
      </c>
      <c r="AS33" s="33">
        <f>AR33*0.995</f>
        <v>5757.7775202283228</v>
      </c>
      <c r="AT33" s="33">
        <f>AS33*0.995</f>
        <v>5728.9886326271808</v>
      </c>
      <c r="AU33" s="33">
        <f>AT33*0.995</f>
        <v>5700.3436894640445</v>
      </c>
      <c r="AV33" s="169">
        <f>AU33</f>
        <v>5700.3436894640445</v>
      </c>
    </row>
    <row r="34" spans="1:48" ht="15.75" customHeight="1" outlineLevel="1" x14ac:dyDescent="0.45">
      <c r="A34" s="161"/>
      <c r="B34" s="435" t="s">
        <v>241</v>
      </c>
      <c r="C34" s="436"/>
      <c r="D34" s="112">
        <v>1478.2</v>
      </c>
      <c r="E34" s="112">
        <v>1500.3</v>
      </c>
      <c r="F34" s="112">
        <v>1440.6</v>
      </c>
      <c r="G34" s="112">
        <v>1370.5</v>
      </c>
      <c r="H34" s="262">
        <f>G34</f>
        <v>1370.5</v>
      </c>
      <c r="I34" s="112">
        <v>701.2</v>
      </c>
      <c r="J34" s="112">
        <v>751.4</v>
      </c>
      <c r="K34" s="112">
        <v>821.1</v>
      </c>
      <c r="L34" s="112">
        <v>907.3</v>
      </c>
      <c r="M34" s="262">
        <f>L34</f>
        <v>907.3</v>
      </c>
      <c r="N34" s="112">
        <v>962.8</v>
      </c>
      <c r="O34" s="112">
        <v>774.8</v>
      </c>
      <c r="P34" s="112">
        <v>762.9</v>
      </c>
      <c r="Q34" s="112">
        <v>737.8</v>
      </c>
      <c r="R34" s="262">
        <f>Q34</f>
        <v>737.8</v>
      </c>
      <c r="S34" s="112">
        <v>621.1</v>
      </c>
      <c r="T34" s="112">
        <v>613.6</v>
      </c>
      <c r="U34" s="112">
        <v>594.4</v>
      </c>
      <c r="V34" s="32">
        <f>U34</f>
        <v>594.4</v>
      </c>
      <c r="W34" s="262">
        <f>V34</f>
        <v>594.4</v>
      </c>
      <c r="X34" s="32">
        <f>V34</f>
        <v>594.4</v>
      </c>
      <c r="Y34" s="32">
        <f>X34</f>
        <v>594.4</v>
      </c>
      <c r="Z34" s="32">
        <f>Y34</f>
        <v>594.4</v>
      </c>
      <c r="AA34" s="32">
        <f>Z34</f>
        <v>594.4</v>
      </c>
      <c r="AB34" s="262">
        <f>AA34</f>
        <v>594.4</v>
      </c>
      <c r="AC34" s="32">
        <f>AA34</f>
        <v>594.4</v>
      </c>
      <c r="AD34" s="32">
        <f>AC34</f>
        <v>594.4</v>
      </c>
      <c r="AE34" s="32">
        <f>AD34</f>
        <v>594.4</v>
      </c>
      <c r="AF34" s="32">
        <f>AE34</f>
        <v>594.4</v>
      </c>
      <c r="AG34" s="262">
        <f>AF34</f>
        <v>594.4</v>
      </c>
      <c r="AH34" s="32">
        <f>AF34</f>
        <v>594.4</v>
      </c>
      <c r="AI34" s="32">
        <f>AH34</f>
        <v>594.4</v>
      </c>
      <c r="AJ34" s="32">
        <f>AI34</f>
        <v>594.4</v>
      </c>
      <c r="AK34" s="32">
        <f>AJ34</f>
        <v>594.4</v>
      </c>
      <c r="AL34" s="262">
        <f>AK34</f>
        <v>594.4</v>
      </c>
      <c r="AM34" s="32">
        <f>AK34</f>
        <v>594.4</v>
      </c>
      <c r="AN34" s="32">
        <f>AM34</f>
        <v>594.4</v>
      </c>
      <c r="AO34" s="32">
        <f>AN34</f>
        <v>594.4</v>
      </c>
      <c r="AP34" s="32">
        <f>AO34</f>
        <v>594.4</v>
      </c>
      <c r="AQ34" s="262">
        <f>AP34</f>
        <v>594.4</v>
      </c>
      <c r="AR34" s="32">
        <f>AP34</f>
        <v>594.4</v>
      </c>
      <c r="AS34" s="32">
        <f>AR34</f>
        <v>594.4</v>
      </c>
      <c r="AT34" s="32">
        <f>AS34</f>
        <v>594.4</v>
      </c>
      <c r="AU34" s="32">
        <f>AT34</f>
        <v>594.4</v>
      </c>
      <c r="AV34" s="262">
        <f>AU34</f>
        <v>594.4</v>
      </c>
    </row>
    <row r="35" spans="1:48" outlineLevel="1" x14ac:dyDescent="0.3">
      <c r="A35" s="161"/>
      <c r="B35" s="472" t="s">
        <v>242</v>
      </c>
      <c r="C35" s="473"/>
      <c r="D35" s="116">
        <f t="shared" ref="D35:AV35" si="29">SUM(D30:D34)</f>
        <v>22860.100000000002</v>
      </c>
      <c r="E35" s="116">
        <f t="shared" si="29"/>
        <v>22677.1</v>
      </c>
      <c r="F35" s="116">
        <f t="shared" si="29"/>
        <v>25213.4</v>
      </c>
      <c r="G35" s="116">
        <f t="shared" si="29"/>
        <v>25450.6</v>
      </c>
      <c r="H35" s="150">
        <f t="shared" si="29"/>
        <v>25450.6</v>
      </c>
      <c r="I35" s="116">
        <f t="shared" si="29"/>
        <v>34490.400000000001</v>
      </c>
      <c r="J35" s="116">
        <f t="shared" si="29"/>
        <v>35011.800000000003</v>
      </c>
      <c r="K35" s="116">
        <f t="shared" si="29"/>
        <v>37764.899999999994</v>
      </c>
      <c r="L35" s="116">
        <f t="shared" si="29"/>
        <v>37173.900000000009</v>
      </c>
      <c r="M35" s="150">
        <f t="shared" si="29"/>
        <v>37173.900000000009</v>
      </c>
      <c r="N35" s="116">
        <f t="shared" si="29"/>
        <v>37872.400000000001</v>
      </c>
      <c r="O35" s="116">
        <f t="shared" si="29"/>
        <v>36020</v>
      </c>
      <c r="P35" s="116">
        <f t="shared" si="29"/>
        <v>36271.1</v>
      </c>
      <c r="Q35" s="116">
        <f t="shared" si="29"/>
        <v>36707.100000000006</v>
      </c>
      <c r="R35" s="150">
        <f t="shared" si="29"/>
        <v>36707.100000000006</v>
      </c>
      <c r="S35" s="116">
        <f t="shared" si="29"/>
        <v>37284.199999999997</v>
      </c>
      <c r="T35" s="116">
        <f t="shared" si="29"/>
        <v>37782.699999999997</v>
      </c>
      <c r="U35" s="116">
        <f t="shared" si="29"/>
        <v>36815.1</v>
      </c>
      <c r="V35" s="116">
        <f t="shared" si="29"/>
        <v>36420.379834544212</v>
      </c>
      <c r="W35" s="150">
        <f t="shared" si="29"/>
        <v>36420.379834544212</v>
      </c>
      <c r="X35" s="116">
        <f t="shared" si="29"/>
        <v>36903.528467524135</v>
      </c>
      <c r="Y35" s="116">
        <f t="shared" si="29"/>
        <v>36500.716005770264</v>
      </c>
      <c r="Z35" s="116">
        <f t="shared" si="29"/>
        <v>36648.105459340994</v>
      </c>
      <c r="AA35" s="116">
        <f t="shared" si="29"/>
        <v>36412.589703002712</v>
      </c>
      <c r="AB35" s="150">
        <f t="shared" si="29"/>
        <v>36412.589703002712</v>
      </c>
      <c r="AC35" s="116">
        <f t="shared" si="29"/>
        <v>36970.011301089886</v>
      </c>
      <c r="AD35" s="116">
        <f t="shared" si="29"/>
        <v>36532.669122707091</v>
      </c>
      <c r="AE35" s="116">
        <f t="shared" si="29"/>
        <v>36673.493040255649</v>
      </c>
      <c r="AF35" s="116">
        <f t="shared" si="29"/>
        <v>36597.934552447165</v>
      </c>
      <c r="AG35" s="150">
        <f t="shared" si="29"/>
        <v>36597.934552447165</v>
      </c>
      <c r="AH35" s="116">
        <f t="shared" si="29"/>
        <v>37185.437200468186</v>
      </c>
      <c r="AI35" s="116">
        <f t="shared" si="29"/>
        <v>36727.295424599259</v>
      </c>
      <c r="AJ35" s="116">
        <f t="shared" si="29"/>
        <v>40740.553178791495</v>
      </c>
      <c r="AK35" s="116">
        <f t="shared" si="29"/>
        <v>40549.220739380384</v>
      </c>
      <c r="AL35" s="150">
        <f t="shared" si="29"/>
        <v>40549.220739380384</v>
      </c>
      <c r="AM35" s="116">
        <f t="shared" si="29"/>
        <v>41138.389255221926</v>
      </c>
      <c r="AN35" s="116">
        <f t="shared" si="29"/>
        <v>40627.312239367304</v>
      </c>
      <c r="AO35" s="116">
        <f t="shared" si="29"/>
        <v>40828.22172879603</v>
      </c>
      <c r="AP35" s="116">
        <f t="shared" si="29"/>
        <v>40628.381367798902</v>
      </c>
      <c r="AQ35" s="150">
        <f t="shared" si="29"/>
        <v>40628.381367798902</v>
      </c>
      <c r="AR35" s="116">
        <f t="shared" si="29"/>
        <v>41248.726462793013</v>
      </c>
      <c r="AS35" s="116">
        <f t="shared" si="29"/>
        <v>40702.049284983928</v>
      </c>
      <c r="AT35" s="116">
        <f t="shared" si="29"/>
        <v>40910.635937989988</v>
      </c>
      <c r="AU35" s="116">
        <f t="shared" si="29"/>
        <v>40707.712377207674</v>
      </c>
      <c r="AV35" s="150">
        <f t="shared" si="29"/>
        <v>40707.712377207674</v>
      </c>
    </row>
    <row r="36" spans="1:48" ht="17.399999999999999" x14ac:dyDescent="0.45">
      <c r="B36" s="433" t="s">
        <v>243</v>
      </c>
      <c r="C36" s="434"/>
      <c r="D36" s="14" t="s">
        <v>19</v>
      </c>
      <c r="E36" s="14" t="s">
        <v>81</v>
      </c>
      <c r="F36" s="14" t="s">
        <v>85</v>
      </c>
      <c r="G36" s="14" t="s">
        <v>95</v>
      </c>
      <c r="H36" s="40" t="s">
        <v>96</v>
      </c>
      <c r="I36" s="14" t="s">
        <v>97</v>
      </c>
      <c r="J36" s="14" t="s">
        <v>98</v>
      </c>
      <c r="K36" s="14" t="s">
        <v>99</v>
      </c>
      <c r="L36" s="14" t="s">
        <v>142</v>
      </c>
      <c r="M36" s="40" t="s">
        <v>143</v>
      </c>
      <c r="N36" s="14" t="s">
        <v>149</v>
      </c>
      <c r="O36" s="14" t="s">
        <v>157</v>
      </c>
      <c r="P36" s="14" t="s">
        <v>159</v>
      </c>
      <c r="Q36" s="14" t="s">
        <v>172</v>
      </c>
      <c r="R36" s="40" t="s">
        <v>173</v>
      </c>
      <c r="S36" s="14" t="s">
        <v>188</v>
      </c>
      <c r="T36" s="14" t="s">
        <v>189</v>
      </c>
      <c r="U36" s="14" t="s">
        <v>204</v>
      </c>
      <c r="V36" s="263" t="s">
        <v>25</v>
      </c>
      <c r="W36" s="264" t="s">
        <v>26</v>
      </c>
      <c r="X36" s="263" t="s">
        <v>27</v>
      </c>
      <c r="Y36" s="263" t="s">
        <v>28</v>
      </c>
      <c r="Z36" s="263" t="s">
        <v>29</v>
      </c>
      <c r="AA36" s="263" t="s">
        <v>30</v>
      </c>
      <c r="AB36" s="264" t="s">
        <v>31</v>
      </c>
      <c r="AC36" s="12" t="s">
        <v>90</v>
      </c>
      <c r="AD36" s="12" t="s">
        <v>91</v>
      </c>
      <c r="AE36" s="12" t="s">
        <v>92</v>
      </c>
      <c r="AF36" s="12" t="s">
        <v>93</v>
      </c>
      <c r="AG36" s="42" t="s">
        <v>94</v>
      </c>
      <c r="AH36" s="12" t="s">
        <v>109</v>
      </c>
      <c r="AI36" s="12" t="s">
        <v>110</v>
      </c>
      <c r="AJ36" s="12" t="s">
        <v>111</v>
      </c>
      <c r="AK36" s="12" t="s">
        <v>112</v>
      </c>
      <c r="AL36" s="42" t="s">
        <v>113</v>
      </c>
      <c r="AM36" s="12" t="s">
        <v>164</v>
      </c>
      <c r="AN36" s="12" t="s">
        <v>165</v>
      </c>
      <c r="AO36" s="12" t="s">
        <v>166</v>
      </c>
      <c r="AP36" s="12" t="s">
        <v>167</v>
      </c>
      <c r="AQ36" s="42" t="s">
        <v>168</v>
      </c>
      <c r="AR36" s="12" t="s">
        <v>195</v>
      </c>
      <c r="AS36" s="12" t="s">
        <v>196</v>
      </c>
      <c r="AT36" s="12" t="s">
        <v>197</v>
      </c>
      <c r="AU36" s="12" t="s">
        <v>198</v>
      </c>
      <c r="AV36" s="42" t="s">
        <v>199</v>
      </c>
    </row>
    <row r="37" spans="1:48" outlineLevel="1" x14ac:dyDescent="0.3">
      <c r="B37" s="435" t="s">
        <v>244</v>
      </c>
      <c r="C37" s="436"/>
      <c r="D37" s="16">
        <f>1.2+41.1</f>
        <v>42.300000000000004</v>
      </c>
      <c r="E37" s="16">
        <f>1.2+41.1</f>
        <v>42.300000000000004</v>
      </c>
      <c r="F37" s="16">
        <f>1.2+41.1</f>
        <v>42.300000000000004</v>
      </c>
      <c r="G37" s="16">
        <f>1.2+41.1</f>
        <v>42.300000000000004</v>
      </c>
      <c r="H37" s="17">
        <f>G37</f>
        <v>42.300000000000004</v>
      </c>
      <c r="I37" s="16">
        <f>1.2+41.1</f>
        <v>42.300000000000004</v>
      </c>
      <c r="J37" s="16">
        <f>1.2+41.1</f>
        <v>42.300000000000004</v>
      </c>
      <c r="K37" s="16">
        <f>1.2+115.4</f>
        <v>116.60000000000001</v>
      </c>
      <c r="L37" s="16">
        <f>1.2+373.9</f>
        <v>375.09999999999997</v>
      </c>
      <c r="M37" s="17">
        <f>L37</f>
        <v>375.09999999999997</v>
      </c>
      <c r="N37" s="16">
        <f>1.2+488.6</f>
        <v>489.8</v>
      </c>
      <c r="O37" s="16">
        <f>1.2+595.4</f>
        <v>596.6</v>
      </c>
      <c r="P37" s="16">
        <f>1.2+729.3</f>
        <v>730.5</v>
      </c>
      <c r="Q37" s="16">
        <f>1.2+846.1</f>
        <v>847.30000000000007</v>
      </c>
      <c r="R37" s="17">
        <f>Q37</f>
        <v>847.30000000000007</v>
      </c>
      <c r="S37" s="16">
        <f>1.2+41.1</f>
        <v>42.300000000000004</v>
      </c>
      <c r="T37" s="16">
        <f>1.1+41.1</f>
        <v>42.2</v>
      </c>
      <c r="U37" s="16">
        <f>1.1+117.1</f>
        <v>118.19999999999999</v>
      </c>
      <c r="V37" s="16">
        <f>+U37+'CFS (Bull-Case)'!V12+'CFS (Bull-Case)'!V35</f>
        <v>186.45820954892966</v>
      </c>
      <c r="W37" s="17">
        <f>V37</f>
        <v>186.45820954892966</v>
      </c>
      <c r="X37" s="16">
        <f>+V37+'CFS (Bull-Case)'!X12+'CFS (Bull-Case)'!X35</f>
        <v>259.88283254063577</v>
      </c>
      <c r="Y37" s="16">
        <f>+X37+'CFS (Bull-Case)'!Y12+'CFS (Bull-Case)'!Y35</f>
        <v>324.12883839715636</v>
      </c>
      <c r="Z37" s="16">
        <f>+Y37+'CFS (Bull-Case)'!Z12+'CFS (Bull-Case)'!Z35</f>
        <v>396.24715516942331</v>
      </c>
      <c r="AA37" s="16">
        <f>+Z37+'CFS (Bull-Case)'!AA12+'CFS (Bull-Case)'!AA35</f>
        <v>472.09509933447271</v>
      </c>
      <c r="AB37" s="17">
        <f>AA37</f>
        <v>472.09509933447271</v>
      </c>
      <c r="AC37" s="16">
        <f>+AA37+'CFS (Bull-Case)'!AC12+'CFS (Bull-Case)'!AC35</f>
        <v>550.84884131012359</v>
      </c>
      <c r="AD37" s="16">
        <f>+AC37+'CFS (Bull-Case)'!AD12+'CFS (Bull-Case)'!AD35</f>
        <v>624.25255502356958</v>
      </c>
      <c r="AE37" s="16">
        <f>+AD37+'CFS (Bull-Case)'!AE12+'CFS (Bull-Case)'!AE35</f>
        <v>705.32474920354775</v>
      </c>
      <c r="AF37" s="16">
        <f>+AE37+'CFS (Bull-Case)'!AF12+'CFS (Bull-Case)'!AF35</f>
        <v>788.70117022579063</v>
      </c>
      <c r="AG37" s="17">
        <f>AF37</f>
        <v>788.70117022579063</v>
      </c>
      <c r="AH37" s="16">
        <f>+AF37+'CFS (Bull-Case)'!AH12+'CFS (Bull-Case)'!AH35</f>
        <v>876.82545725888997</v>
      </c>
      <c r="AI37" s="16">
        <f>+AH37+'CFS (Bull-Case)'!AI12+'CFS (Bull-Case)'!AI35</f>
        <v>959.97523004592324</v>
      </c>
      <c r="AJ37" s="16">
        <f>+AI37+'CFS (Bull-Case)'!AJ12+'CFS (Bull-Case)'!AJ35</f>
        <v>1051.3234940724949</v>
      </c>
      <c r="AK37" s="16">
        <f>+AJ37+'CFS (Bull-Case)'!AK12+'CFS (Bull-Case)'!AK35</f>
        <v>1145.1184259988538</v>
      </c>
      <c r="AL37" s="17">
        <f>AK37</f>
        <v>1145.1184259988538</v>
      </c>
      <c r="AM37" s="16">
        <f>+AK37+'CFS (Bull-Case)'!AM12+'CFS (Bull-Case)'!AM35</f>
        <v>1242.0020787822232</v>
      </c>
      <c r="AN37" s="16">
        <f>+AM37+'CFS (Bull-Case)'!AN12+'CFS (Bull-Case)'!AN35</f>
        <v>1333.1001560220509</v>
      </c>
      <c r="AO37" s="16">
        <f>+AN37+'CFS (Bull-Case)'!AO12+'CFS (Bull-Case)'!AO35</f>
        <v>1432.6875628903992</v>
      </c>
      <c r="AP37" s="16">
        <f>+AO37+'CFS (Bull-Case)'!AP12+'CFS (Bull-Case)'!AP35</f>
        <v>1534.6191811363537</v>
      </c>
      <c r="AQ37" s="17">
        <f>AP37</f>
        <v>1534.6191811363537</v>
      </c>
      <c r="AR37" s="16">
        <f>+AP37+'CFS (Bull-Case)'!AR12+'CFS (Bull-Case)'!AR35</f>
        <v>1637.8101577037419</v>
      </c>
      <c r="AS37" s="16">
        <f>+AR37+'CFS (Bull-Case)'!AS12+'CFS (Bull-Case)'!AS35</f>
        <v>1734.7785046499855</v>
      </c>
      <c r="AT37" s="16">
        <f>+AS37+'CFS (Bull-Case)'!AT12+'CFS (Bull-Case)'!AT35</f>
        <v>1840.7340223392991</v>
      </c>
      <c r="AU37" s="16">
        <f>+AT37+'CFS (Bull-Case)'!AU12+'CFS (Bull-Case)'!AU35</f>
        <v>1949.2152635632988</v>
      </c>
      <c r="AV37" s="17">
        <f>AU37</f>
        <v>1949.2152635632988</v>
      </c>
    </row>
    <row r="38" spans="1:48" outlineLevel="1" x14ac:dyDescent="0.3">
      <c r="B38" s="474" t="s">
        <v>245</v>
      </c>
      <c r="C38" s="475"/>
      <c r="D38" s="16">
        <v>-2584</v>
      </c>
      <c r="E38" s="101">
        <v>-4807.7</v>
      </c>
      <c r="F38" s="101">
        <v>-4013.9</v>
      </c>
      <c r="G38" s="101">
        <v>-5771.2</v>
      </c>
      <c r="H38" s="169">
        <f>G38</f>
        <v>-5771.2</v>
      </c>
      <c r="I38" s="101">
        <v>-6414.8</v>
      </c>
      <c r="J38" s="101">
        <v>-7050.6</v>
      </c>
      <c r="K38" s="101">
        <v>-8208.2999999999993</v>
      </c>
      <c r="L38" s="101">
        <v>-7815.6</v>
      </c>
      <c r="M38" s="169">
        <f>L38</f>
        <v>-7815.6</v>
      </c>
      <c r="N38" s="101">
        <v>-8253.6</v>
      </c>
      <c r="O38" s="101">
        <v>-8124.3</v>
      </c>
      <c r="P38" s="101">
        <v>-7501.6</v>
      </c>
      <c r="Q38" s="101">
        <v>-6315.7</v>
      </c>
      <c r="R38" s="169">
        <f>Q38</f>
        <v>-6315.7</v>
      </c>
      <c r="S38" s="101">
        <v>-8753</v>
      </c>
      <c r="T38" s="101">
        <v>-9070.5</v>
      </c>
      <c r="U38" s="101">
        <v>-8719.7000000000007</v>
      </c>
      <c r="V38" s="101">
        <f>U38+'CFS (Bull-Case)'!V6+'CFS (Bull-Case)'!V33+'CFS (Bull-Case)'!V34</f>
        <v>-8544.5597585978667</v>
      </c>
      <c r="W38" s="169">
        <f>V38</f>
        <v>-8544.5597585978667</v>
      </c>
      <c r="X38" s="101">
        <f>V38+'CFS (Bull-Case)'!X6+'CFS (Bull-Case)'!X33+'CFS (Bull-Case)'!X34</f>
        <v>-8316.7114096520727</v>
      </c>
      <c r="Y38" s="101">
        <f>X38+'CFS (Bull-Case)'!Y6+'CFS (Bull-Case)'!Y33+'CFS (Bull-Case)'!Y34</f>
        <v>-8111.7560234748071</v>
      </c>
      <c r="Z38" s="101">
        <f>Y38+'CFS (Bull-Case)'!Z6+'CFS (Bull-Case)'!Z33+'CFS (Bull-Case)'!Z34</f>
        <v>-7675.9313952221073</v>
      </c>
      <c r="AA38" s="101">
        <f>Z38+'CFS (Bull-Case)'!AA6+'CFS (Bull-Case)'!AA33+'CFS (Bull-Case)'!AA34</f>
        <v>-7202.9377893113069</v>
      </c>
      <c r="AB38" s="169">
        <f>AA38</f>
        <v>-7202.9377893113069</v>
      </c>
      <c r="AC38" s="101">
        <f>AA38+'CFS (Bull-Case)'!AC6+'CFS (Bull-Case)'!AC33+'CFS (Bull-Case)'!AC34</f>
        <v>-6641.5453251913996</v>
      </c>
      <c r="AD38" s="101">
        <f>AC38+'CFS (Bull-Case)'!AD6+'CFS (Bull-Case)'!AD33+'CFS (Bull-Case)'!AD34</f>
        <v>-6282.8341411967831</v>
      </c>
      <c r="AE38" s="101">
        <f>AD38+'CFS (Bull-Case)'!AE6+'CFS (Bull-Case)'!AE33+'CFS (Bull-Case)'!AE34</f>
        <v>-5789.075815778031</v>
      </c>
      <c r="AF38" s="101">
        <f>AE38+'CFS (Bull-Case)'!AF6+'CFS (Bull-Case)'!AF33+'CFS (Bull-Case)'!AF34</f>
        <v>-5344.2608055248511</v>
      </c>
      <c r="AG38" s="169">
        <f>AF38</f>
        <v>-5344.2608055248511</v>
      </c>
      <c r="AH38" s="101">
        <f>AF38+'CFS (Bull-Case)'!AH6+'CFS (Bull-Case)'!AH33+'CFS (Bull-Case)'!AH34</f>
        <v>-4683.6850975553389</v>
      </c>
      <c r="AI38" s="101">
        <f>AH38+'CFS (Bull-Case)'!AI6+'CFS (Bull-Case)'!AI33+'CFS (Bull-Case)'!AI34</f>
        <v>-4250.0515653587408</v>
      </c>
      <c r="AJ38" s="101">
        <f>AI38+'CFS (Bull-Case)'!AJ6+'CFS (Bull-Case)'!AJ33+'CFS (Bull-Case)'!AJ34</f>
        <v>-7115.0054210309099</v>
      </c>
      <c r="AK38" s="101">
        <f>AJ38+'CFS (Bull-Case)'!AK6+'CFS (Bull-Case)'!AK33+'CFS (Bull-Case)'!AK34</f>
        <v>-10133.887670533906</v>
      </c>
      <c r="AL38" s="169">
        <f>AK38</f>
        <v>-10133.887670533906</v>
      </c>
      <c r="AM38" s="101">
        <f>AK38+'CFS (Bull-Case)'!AM6+'CFS (Bull-Case)'!AM33+'CFS (Bull-Case)'!AM34</f>
        <v>-9557.4332013813655</v>
      </c>
      <c r="AN38" s="101">
        <f>AM38+'CFS (Bull-Case)'!AN6+'CFS (Bull-Case)'!AN33+'CFS (Bull-Case)'!AN34</f>
        <v>-9238.2323406151081</v>
      </c>
      <c r="AO38" s="101">
        <f>AN38+'CFS (Bull-Case)'!AO6+'CFS (Bull-Case)'!AO33+'CFS (Bull-Case)'!AO34</f>
        <v>-8561.1547566622903</v>
      </c>
      <c r="AP38" s="101">
        <f>AO38+'CFS (Bull-Case)'!AP6+'CFS (Bull-Case)'!AP33+'CFS (Bull-Case)'!AP34</f>
        <v>-7978.379533263168</v>
      </c>
      <c r="AQ38" s="169">
        <f>AP38</f>
        <v>-7978.379533263168</v>
      </c>
      <c r="AR38" s="101">
        <f>AP38+'CFS (Bull-Case)'!AR6+'CFS (Bull-Case)'!AR33+'CFS (Bull-Case)'!AR34</f>
        <v>-7289.169041979354</v>
      </c>
      <c r="AS38" s="101">
        <f>AR38+'CFS (Bull-Case)'!AS6+'CFS (Bull-Case)'!AS33+'CFS (Bull-Case)'!AS34</f>
        <v>-6872.5643955579089</v>
      </c>
      <c r="AT38" s="101">
        <f>AS38+'CFS (Bull-Case)'!AT6+'CFS (Bull-Case)'!AT33+'CFS (Bull-Case)'!AT34</f>
        <v>-6094.5153348682743</v>
      </c>
      <c r="AU38" s="101">
        <f>AT38+'CFS (Bull-Case)'!AU6+'CFS (Bull-Case)'!AU33+'CFS (Bull-Case)'!AU34</f>
        <v>-5411.0521698370985</v>
      </c>
      <c r="AV38" s="169">
        <f>AU38</f>
        <v>-5411.0521698370985</v>
      </c>
    </row>
    <row r="39" spans="1:48" outlineLevel="1" x14ac:dyDescent="0.3">
      <c r="B39" s="474" t="s">
        <v>246</v>
      </c>
      <c r="C39" s="475"/>
      <c r="D39" s="16">
        <v>-343.2</v>
      </c>
      <c r="E39" s="102">
        <v>-271.5</v>
      </c>
      <c r="F39" s="101">
        <v>-349</v>
      </c>
      <c r="G39" s="101">
        <v>-503.3</v>
      </c>
      <c r="H39" s="169">
        <f>+G39</f>
        <v>-503.3</v>
      </c>
      <c r="I39" s="101">
        <v>-387.4</v>
      </c>
      <c r="J39" s="101">
        <v>-521.79999999999995</v>
      </c>
      <c r="K39" s="101">
        <v>-529.9</v>
      </c>
      <c r="L39" s="101">
        <v>-364.6</v>
      </c>
      <c r="M39" s="169">
        <f>+L39</f>
        <v>-364.6</v>
      </c>
      <c r="N39" s="101">
        <v>-145.9</v>
      </c>
      <c r="O39" s="101">
        <v>-126.3</v>
      </c>
      <c r="P39" s="101">
        <v>-29.7</v>
      </c>
      <c r="Q39" s="101">
        <v>147.19999999999999</v>
      </c>
      <c r="R39" s="169">
        <f>+Q39</f>
        <v>147.19999999999999</v>
      </c>
      <c r="S39" s="101">
        <v>253.5</v>
      </c>
      <c r="T39" s="101">
        <v>260.3</v>
      </c>
      <c r="U39" s="101">
        <v>-65</v>
      </c>
      <c r="V39" s="101">
        <f t="shared" ref="V39:W40" si="30">+U39</f>
        <v>-65</v>
      </c>
      <c r="W39" s="169">
        <f t="shared" si="30"/>
        <v>-65</v>
      </c>
      <c r="X39" s="101">
        <f>+V39</f>
        <v>-65</v>
      </c>
      <c r="Y39" s="101">
        <f t="shared" ref="Y39:AB40" si="31">+X39</f>
        <v>-65</v>
      </c>
      <c r="Z39" s="101">
        <f t="shared" si="31"/>
        <v>-65</v>
      </c>
      <c r="AA39" s="101">
        <f t="shared" si="31"/>
        <v>-65</v>
      </c>
      <c r="AB39" s="169">
        <f t="shared" si="31"/>
        <v>-65</v>
      </c>
      <c r="AC39" s="101">
        <f>+AA39</f>
        <v>-65</v>
      </c>
      <c r="AD39" s="101">
        <f t="shared" ref="AD39:AG40" si="32">+AC39</f>
        <v>-65</v>
      </c>
      <c r="AE39" s="101">
        <f t="shared" si="32"/>
        <v>-65</v>
      </c>
      <c r="AF39" s="101">
        <f t="shared" si="32"/>
        <v>-65</v>
      </c>
      <c r="AG39" s="169">
        <f t="shared" si="32"/>
        <v>-65</v>
      </c>
      <c r="AH39" s="101">
        <f>+AF39</f>
        <v>-65</v>
      </c>
      <c r="AI39" s="101">
        <f t="shared" ref="AI39:AL40" si="33">+AH39</f>
        <v>-65</v>
      </c>
      <c r="AJ39" s="101">
        <f t="shared" si="33"/>
        <v>-65</v>
      </c>
      <c r="AK39" s="101">
        <f t="shared" si="33"/>
        <v>-65</v>
      </c>
      <c r="AL39" s="169">
        <f t="shared" si="33"/>
        <v>-65</v>
      </c>
      <c r="AM39" s="101">
        <f>+AK39</f>
        <v>-65</v>
      </c>
      <c r="AN39" s="101">
        <f t="shared" ref="AN39:AQ40" si="34">+AM39</f>
        <v>-65</v>
      </c>
      <c r="AO39" s="101">
        <f t="shared" si="34"/>
        <v>-65</v>
      </c>
      <c r="AP39" s="101">
        <f t="shared" si="34"/>
        <v>-65</v>
      </c>
      <c r="AQ39" s="169">
        <f t="shared" si="34"/>
        <v>-65</v>
      </c>
      <c r="AR39" s="101">
        <f>+AP39</f>
        <v>-65</v>
      </c>
      <c r="AS39" s="101">
        <f t="shared" ref="AS39:AV40" si="35">+AR39</f>
        <v>-65</v>
      </c>
      <c r="AT39" s="101">
        <f t="shared" si="35"/>
        <v>-65</v>
      </c>
      <c r="AU39" s="101">
        <f t="shared" si="35"/>
        <v>-65</v>
      </c>
      <c r="AV39" s="169">
        <f t="shared" si="35"/>
        <v>-65</v>
      </c>
    </row>
    <row r="40" spans="1:48" ht="16.2" outlineLevel="1" x14ac:dyDescent="0.45">
      <c r="B40" s="265" t="s">
        <v>247</v>
      </c>
      <c r="C40" s="266"/>
      <c r="D40" s="260">
        <v>6.1</v>
      </c>
      <c r="E40" s="112">
        <v>1.7</v>
      </c>
      <c r="F40" s="112">
        <v>1.6</v>
      </c>
      <c r="G40" s="112">
        <v>1.2</v>
      </c>
      <c r="H40" s="261">
        <f>+G40</f>
        <v>1.2</v>
      </c>
      <c r="I40" s="112">
        <v>0.8</v>
      </c>
      <c r="J40" s="112">
        <v>-2.8</v>
      </c>
      <c r="K40" s="112">
        <v>-2.7</v>
      </c>
      <c r="L40" s="112">
        <v>5.7</v>
      </c>
      <c r="M40" s="262">
        <f>+L40</f>
        <v>5.7</v>
      </c>
      <c r="N40" s="112">
        <v>5.7</v>
      </c>
      <c r="O40" s="112">
        <v>5.7</v>
      </c>
      <c r="P40" s="112">
        <v>6.5</v>
      </c>
      <c r="Q40" s="112">
        <v>6.7</v>
      </c>
      <c r="R40" s="262">
        <f>+Q40</f>
        <v>6.7</v>
      </c>
      <c r="S40" s="112">
        <v>6.9</v>
      </c>
      <c r="T40" s="112">
        <v>6.8</v>
      </c>
      <c r="U40" s="112">
        <v>7.6</v>
      </c>
      <c r="V40" s="112">
        <f t="shared" si="30"/>
        <v>7.6</v>
      </c>
      <c r="W40" s="262">
        <f t="shared" si="30"/>
        <v>7.6</v>
      </c>
      <c r="X40" s="112">
        <f>+V40</f>
        <v>7.6</v>
      </c>
      <c r="Y40" s="112">
        <f t="shared" si="31"/>
        <v>7.6</v>
      </c>
      <c r="Z40" s="112">
        <f t="shared" si="31"/>
        <v>7.6</v>
      </c>
      <c r="AA40" s="112">
        <f t="shared" si="31"/>
        <v>7.6</v>
      </c>
      <c r="AB40" s="262">
        <f t="shared" si="31"/>
        <v>7.6</v>
      </c>
      <c r="AC40" s="112">
        <f>+AA40</f>
        <v>7.6</v>
      </c>
      <c r="AD40" s="112">
        <f t="shared" si="32"/>
        <v>7.6</v>
      </c>
      <c r="AE40" s="112">
        <f t="shared" si="32"/>
        <v>7.6</v>
      </c>
      <c r="AF40" s="112">
        <f t="shared" si="32"/>
        <v>7.6</v>
      </c>
      <c r="AG40" s="262">
        <f t="shared" si="32"/>
        <v>7.6</v>
      </c>
      <c r="AH40" s="112">
        <f>+AF40</f>
        <v>7.6</v>
      </c>
      <c r="AI40" s="112">
        <f t="shared" si="33"/>
        <v>7.6</v>
      </c>
      <c r="AJ40" s="112">
        <f t="shared" si="33"/>
        <v>7.6</v>
      </c>
      <c r="AK40" s="112">
        <f t="shared" si="33"/>
        <v>7.6</v>
      </c>
      <c r="AL40" s="262">
        <f t="shared" si="33"/>
        <v>7.6</v>
      </c>
      <c r="AM40" s="112">
        <f>+AK40</f>
        <v>7.6</v>
      </c>
      <c r="AN40" s="112">
        <f t="shared" si="34"/>
        <v>7.6</v>
      </c>
      <c r="AO40" s="112">
        <f t="shared" si="34"/>
        <v>7.6</v>
      </c>
      <c r="AP40" s="112">
        <f t="shared" si="34"/>
        <v>7.6</v>
      </c>
      <c r="AQ40" s="262">
        <f t="shared" si="34"/>
        <v>7.6</v>
      </c>
      <c r="AR40" s="112">
        <f>+AP40</f>
        <v>7.6</v>
      </c>
      <c r="AS40" s="112">
        <f t="shared" si="35"/>
        <v>7.6</v>
      </c>
      <c r="AT40" s="112">
        <f t="shared" si="35"/>
        <v>7.6</v>
      </c>
      <c r="AU40" s="112">
        <f t="shared" si="35"/>
        <v>7.6</v>
      </c>
      <c r="AV40" s="262">
        <f t="shared" si="35"/>
        <v>7.6</v>
      </c>
    </row>
    <row r="41" spans="1:48" outlineLevel="1" x14ac:dyDescent="0.3">
      <c r="B41" s="472" t="s">
        <v>248</v>
      </c>
      <c r="C41" s="473"/>
      <c r="D41" s="21">
        <f t="shared" ref="D41:AV41" si="36">SUM(D37:D40)</f>
        <v>-2878.7999999999997</v>
      </c>
      <c r="E41" s="21">
        <f t="shared" si="36"/>
        <v>-5035.2</v>
      </c>
      <c r="F41" s="21">
        <f t="shared" si="36"/>
        <v>-4319</v>
      </c>
      <c r="G41" s="21">
        <f t="shared" si="36"/>
        <v>-6231</v>
      </c>
      <c r="H41" s="22">
        <f t="shared" si="36"/>
        <v>-6231</v>
      </c>
      <c r="I41" s="21">
        <f t="shared" si="36"/>
        <v>-6759.0999999999995</v>
      </c>
      <c r="J41" s="21">
        <f t="shared" si="36"/>
        <v>-7532.9000000000005</v>
      </c>
      <c r="K41" s="21">
        <f t="shared" si="36"/>
        <v>-8624.2999999999993</v>
      </c>
      <c r="L41" s="21">
        <f t="shared" si="36"/>
        <v>-7799.4000000000005</v>
      </c>
      <c r="M41" s="22">
        <f t="shared" si="36"/>
        <v>-7799.4000000000005</v>
      </c>
      <c r="N41" s="21">
        <f t="shared" si="36"/>
        <v>-7904</v>
      </c>
      <c r="O41" s="21">
        <f t="shared" si="36"/>
        <v>-7648.3</v>
      </c>
      <c r="P41" s="21">
        <f t="shared" si="36"/>
        <v>-6794.3</v>
      </c>
      <c r="Q41" s="21">
        <f t="shared" si="36"/>
        <v>-5314.5</v>
      </c>
      <c r="R41" s="22">
        <f t="shared" si="36"/>
        <v>-5314.5</v>
      </c>
      <c r="S41" s="21">
        <f t="shared" si="36"/>
        <v>-8450.3000000000011</v>
      </c>
      <c r="T41" s="21">
        <f t="shared" si="36"/>
        <v>-8761.2000000000007</v>
      </c>
      <c r="U41" s="21">
        <f t="shared" si="36"/>
        <v>-8658.9</v>
      </c>
      <c r="V41" s="21">
        <f t="shared" si="36"/>
        <v>-8415.5015490489368</v>
      </c>
      <c r="W41" s="22">
        <f t="shared" si="36"/>
        <v>-8415.5015490489368</v>
      </c>
      <c r="X41" s="21">
        <f t="shared" si="36"/>
        <v>-8114.2285771114366</v>
      </c>
      <c r="Y41" s="21">
        <f t="shared" si="36"/>
        <v>-7845.0271850776508</v>
      </c>
      <c r="Z41" s="21">
        <f t="shared" si="36"/>
        <v>-7337.0842400526835</v>
      </c>
      <c r="AA41" s="21">
        <f t="shared" si="36"/>
        <v>-6788.2426899768343</v>
      </c>
      <c r="AB41" s="22">
        <f t="shared" si="36"/>
        <v>-6788.2426899768343</v>
      </c>
      <c r="AC41" s="21">
        <f t="shared" si="36"/>
        <v>-6148.0964838812761</v>
      </c>
      <c r="AD41" s="21">
        <f t="shared" si="36"/>
        <v>-5715.9815861732131</v>
      </c>
      <c r="AE41" s="21">
        <f t="shared" si="36"/>
        <v>-5141.1510665744827</v>
      </c>
      <c r="AF41" s="21">
        <f t="shared" si="36"/>
        <v>-4612.9596352990602</v>
      </c>
      <c r="AG41" s="22">
        <f t="shared" si="36"/>
        <v>-4612.9596352990602</v>
      </c>
      <c r="AH41" s="21">
        <f t="shared" si="36"/>
        <v>-3864.2596402964491</v>
      </c>
      <c r="AI41" s="21">
        <f t="shared" si="36"/>
        <v>-3347.4763353128178</v>
      </c>
      <c r="AJ41" s="21">
        <f t="shared" si="36"/>
        <v>-6121.0819269584144</v>
      </c>
      <c r="AK41" s="21">
        <f t="shared" si="36"/>
        <v>-9046.1692445350527</v>
      </c>
      <c r="AL41" s="22">
        <f t="shared" si="36"/>
        <v>-9046.1692445350527</v>
      </c>
      <c r="AM41" s="21">
        <f t="shared" si="36"/>
        <v>-8372.831122599142</v>
      </c>
      <c r="AN41" s="21">
        <f t="shared" si="36"/>
        <v>-7962.5321845930566</v>
      </c>
      <c r="AO41" s="21">
        <f t="shared" si="36"/>
        <v>-7185.8671937718909</v>
      </c>
      <c r="AP41" s="21">
        <f t="shared" si="36"/>
        <v>-6501.1603521268135</v>
      </c>
      <c r="AQ41" s="22">
        <f t="shared" si="36"/>
        <v>-6501.1603521268135</v>
      </c>
      <c r="AR41" s="21">
        <f t="shared" si="36"/>
        <v>-5708.7588842756122</v>
      </c>
      <c r="AS41" s="21">
        <f t="shared" si="36"/>
        <v>-5195.1858909079228</v>
      </c>
      <c r="AT41" s="21">
        <f t="shared" si="36"/>
        <v>-4311.1813125289746</v>
      </c>
      <c r="AU41" s="21">
        <f t="shared" si="36"/>
        <v>-3519.2369062737998</v>
      </c>
      <c r="AV41" s="22">
        <f t="shared" si="36"/>
        <v>-3519.2369062737998</v>
      </c>
    </row>
    <row r="42" spans="1:48" outlineLevel="1" x14ac:dyDescent="0.3">
      <c r="B42" s="470" t="s">
        <v>249</v>
      </c>
      <c r="C42" s="471"/>
      <c r="D42" s="267">
        <f t="shared" ref="D42:AV42" si="37">D41+D35</f>
        <v>19981.300000000003</v>
      </c>
      <c r="E42" s="267">
        <f t="shared" si="37"/>
        <v>17641.899999999998</v>
      </c>
      <c r="F42" s="267">
        <f t="shared" si="37"/>
        <v>20894.400000000001</v>
      </c>
      <c r="G42" s="267">
        <f t="shared" si="37"/>
        <v>19219.599999999999</v>
      </c>
      <c r="H42" s="268">
        <f t="shared" si="37"/>
        <v>19219.599999999999</v>
      </c>
      <c r="I42" s="267">
        <f t="shared" si="37"/>
        <v>27731.300000000003</v>
      </c>
      <c r="J42" s="267">
        <f t="shared" si="37"/>
        <v>27478.9</v>
      </c>
      <c r="K42" s="267">
        <f t="shared" si="37"/>
        <v>29140.599999999995</v>
      </c>
      <c r="L42" s="267">
        <f t="shared" si="37"/>
        <v>29374.500000000007</v>
      </c>
      <c r="M42" s="268">
        <f t="shared" si="37"/>
        <v>29374.500000000007</v>
      </c>
      <c r="N42" s="267">
        <f t="shared" si="37"/>
        <v>29968.400000000001</v>
      </c>
      <c r="O42" s="267">
        <f t="shared" si="37"/>
        <v>28371.7</v>
      </c>
      <c r="P42" s="267">
        <f t="shared" si="37"/>
        <v>29476.799999999999</v>
      </c>
      <c r="Q42" s="267">
        <f t="shared" si="37"/>
        <v>31392.600000000006</v>
      </c>
      <c r="R42" s="268">
        <f t="shared" si="37"/>
        <v>31392.600000000006</v>
      </c>
      <c r="S42" s="267">
        <f t="shared" si="37"/>
        <v>28833.899999999994</v>
      </c>
      <c r="T42" s="267">
        <f t="shared" si="37"/>
        <v>29021.499999999996</v>
      </c>
      <c r="U42" s="267">
        <f t="shared" si="37"/>
        <v>28156.199999999997</v>
      </c>
      <c r="V42" s="267">
        <f t="shared" si="37"/>
        <v>28004.878285495273</v>
      </c>
      <c r="W42" s="268">
        <f t="shared" si="37"/>
        <v>28004.878285495273</v>
      </c>
      <c r="X42" s="267">
        <f t="shared" si="37"/>
        <v>28789.299890412698</v>
      </c>
      <c r="Y42" s="267">
        <f t="shared" si="37"/>
        <v>28655.688820692612</v>
      </c>
      <c r="Z42" s="267">
        <f t="shared" si="37"/>
        <v>29311.021219288312</v>
      </c>
      <c r="AA42" s="267">
        <f t="shared" si="37"/>
        <v>29624.347013025879</v>
      </c>
      <c r="AB42" s="268">
        <f t="shared" si="37"/>
        <v>29624.347013025879</v>
      </c>
      <c r="AC42" s="267">
        <f t="shared" si="37"/>
        <v>30821.91481720861</v>
      </c>
      <c r="AD42" s="267">
        <f t="shared" si="37"/>
        <v>30816.687536533878</v>
      </c>
      <c r="AE42" s="267">
        <f t="shared" si="37"/>
        <v>31532.341973681167</v>
      </c>
      <c r="AF42" s="267">
        <f t="shared" si="37"/>
        <v>31984.974917148105</v>
      </c>
      <c r="AG42" s="268">
        <f t="shared" si="37"/>
        <v>31984.974917148105</v>
      </c>
      <c r="AH42" s="267">
        <f t="shared" si="37"/>
        <v>33321.177560171738</v>
      </c>
      <c r="AI42" s="267">
        <f t="shared" si="37"/>
        <v>33379.819089286444</v>
      </c>
      <c r="AJ42" s="267">
        <f t="shared" si="37"/>
        <v>34619.471251833078</v>
      </c>
      <c r="AK42" s="267">
        <f t="shared" si="37"/>
        <v>31503.051494845331</v>
      </c>
      <c r="AL42" s="268">
        <f t="shared" si="37"/>
        <v>31503.051494845331</v>
      </c>
      <c r="AM42" s="267">
        <f t="shared" si="37"/>
        <v>32765.558132622784</v>
      </c>
      <c r="AN42" s="267">
        <f t="shared" si="37"/>
        <v>32664.780054774248</v>
      </c>
      <c r="AO42" s="267">
        <f t="shared" si="37"/>
        <v>33642.35453502414</v>
      </c>
      <c r="AP42" s="267">
        <f t="shared" si="37"/>
        <v>34127.22101567209</v>
      </c>
      <c r="AQ42" s="268">
        <f t="shared" si="37"/>
        <v>34127.22101567209</v>
      </c>
      <c r="AR42" s="267">
        <f t="shared" si="37"/>
        <v>35539.967578517404</v>
      </c>
      <c r="AS42" s="267">
        <f t="shared" si="37"/>
        <v>35506.863394076005</v>
      </c>
      <c r="AT42" s="267">
        <f t="shared" si="37"/>
        <v>36599.45462546101</v>
      </c>
      <c r="AU42" s="267">
        <f t="shared" si="37"/>
        <v>37188.475470933874</v>
      </c>
      <c r="AV42" s="268">
        <f t="shared" si="37"/>
        <v>37188.475470933874</v>
      </c>
    </row>
    <row r="43" spans="1:48" x14ac:dyDescent="0.3">
      <c r="B43" s="269"/>
      <c r="C43" s="270"/>
      <c r="D43" s="271">
        <f t="shared" ref="D43:AV43" si="38">ROUND((D42-D20),0)</f>
        <v>0</v>
      </c>
      <c r="E43" s="271">
        <f t="shared" si="38"/>
        <v>0</v>
      </c>
      <c r="F43" s="271">
        <f t="shared" si="38"/>
        <v>0</v>
      </c>
      <c r="G43" s="271">
        <f t="shared" si="38"/>
        <v>0</v>
      </c>
      <c r="H43" s="271">
        <f t="shared" si="38"/>
        <v>0</v>
      </c>
      <c r="I43" s="271">
        <f t="shared" si="38"/>
        <v>0</v>
      </c>
      <c r="J43" s="271">
        <f t="shared" si="38"/>
        <v>0</v>
      </c>
      <c r="K43" s="271">
        <f t="shared" si="38"/>
        <v>0</v>
      </c>
      <c r="L43" s="272">
        <f t="shared" si="38"/>
        <v>0</v>
      </c>
      <c r="M43" s="272">
        <f t="shared" si="38"/>
        <v>0</v>
      </c>
      <c r="N43" s="272">
        <f t="shared" si="38"/>
        <v>0</v>
      </c>
      <c r="O43" s="272">
        <f t="shared" si="38"/>
        <v>0</v>
      </c>
      <c r="P43" s="272">
        <f t="shared" si="38"/>
        <v>0</v>
      </c>
      <c r="Q43" s="272">
        <f t="shared" si="38"/>
        <v>0</v>
      </c>
      <c r="R43" s="272">
        <f t="shared" si="38"/>
        <v>0</v>
      </c>
      <c r="S43" s="272">
        <f t="shared" si="38"/>
        <v>0</v>
      </c>
      <c r="T43" s="272">
        <f t="shared" si="38"/>
        <v>0</v>
      </c>
      <c r="U43" s="272">
        <f t="shared" si="38"/>
        <v>0</v>
      </c>
      <c r="V43" s="272">
        <f t="shared" si="38"/>
        <v>0</v>
      </c>
      <c r="W43" s="272">
        <f t="shared" si="38"/>
        <v>0</v>
      </c>
      <c r="X43" s="272">
        <f t="shared" si="38"/>
        <v>0</v>
      </c>
      <c r="Y43" s="272">
        <f t="shared" si="38"/>
        <v>0</v>
      </c>
      <c r="Z43" s="272">
        <f t="shared" si="38"/>
        <v>0</v>
      </c>
      <c r="AA43" s="272">
        <f t="shared" si="38"/>
        <v>0</v>
      </c>
      <c r="AB43" s="272">
        <f t="shared" si="38"/>
        <v>0</v>
      </c>
      <c r="AC43" s="272">
        <f t="shared" si="38"/>
        <v>0</v>
      </c>
      <c r="AD43" s="272">
        <f t="shared" si="38"/>
        <v>0</v>
      </c>
      <c r="AE43" s="272">
        <f t="shared" si="38"/>
        <v>0</v>
      </c>
      <c r="AF43" s="272">
        <f t="shared" si="38"/>
        <v>0</v>
      </c>
      <c r="AG43" s="272">
        <f t="shared" si="38"/>
        <v>0</v>
      </c>
      <c r="AH43" s="272">
        <f t="shared" si="38"/>
        <v>0</v>
      </c>
      <c r="AI43" s="272">
        <f t="shared" si="38"/>
        <v>0</v>
      </c>
      <c r="AJ43" s="272">
        <f t="shared" si="38"/>
        <v>0</v>
      </c>
      <c r="AK43" s="272">
        <f t="shared" si="38"/>
        <v>0</v>
      </c>
      <c r="AL43" s="272">
        <f t="shared" si="38"/>
        <v>0</v>
      </c>
      <c r="AM43" s="272">
        <f t="shared" si="38"/>
        <v>0</v>
      </c>
      <c r="AN43" s="272">
        <f t="shared" si="38"/>
        <v>0</v>
      </c>
      <c r="AO43" s="272">
        <f t="shared" si="38"/>
        <v>0</v>
      </c>
      <c r="AP43" s="272">
        <f t="shared" si="38"/>
        <v>0</v>
      </c>
      <c r="AQ43" s="272">
        <f t="shared" si="38"/>
        <v>0</v>
      </c>
      <c r="AR43" s="272">
        <f t="shared" si="38"/>
        <v>0</v>
      </c>
      <c r="AS43" s="272">
        <f t="shared" si="38"/>
        <v>0</v>
      </c>
      <c r="AT43" s="272">
        <f t="shared" si="38"/>
        <v>0</v>
      </c>
      <c r="AU43" s="272">
        <f t="shared" si="38"/>
        <v>0</v>
      </c>
      <c r="AV43" s="272">
        <f t="shared" si="38"/>
        <v>0</v>
      </c>
    </row>
    <row r="44" spans="1:48" ht="15.6" x14ac:dyDescent="0.3">
      <c r="B44" s="433" t="s">
        <v>250</v>
      </c>
      <c r="C44" s="434"/>
      <c r="D44" s="13" t="s">
        <v>15</v>
      </c>
      <c r="E44" s="13" t="s">
        <v>82</v>
      </c>
      <c r="F44" s="13" t="s">
        <v>84</v>
      </c>
      <c r="G44" s="13" t="s">
        <v>147</v>
      </c>
      <c r="H44" s="39" t="s">
        <v>147</v>
      </c>
      <c r="I44" s="13" t="s">
        <v>146</v>
      </c>
      <c r="J44" s="13" t="s">
        <v>145</v>
      </c>
      <c r="K44" s="13" t="s">
        <v>144</v>
      </c>
      <c r="L44" s="13" t="s">
        <v>141</v>
      </c>
      <c r="M44" s="39" t="s">
        <v>141</v>
      </c>
      <c r="N44" s="13" t="s">
        <v>148</v>
      </c>
      <c r="O44" s="13" t="s">
        <v>156</v>
      </c>
      <c r="P44" s="13" t="s">
        <v>158</v>
      </c>
      <c r="Q44" s="13" t="s">
        <v>171</v>
      </c>
      <c r="R44" s="39" t="s">
        <v>171</v>
      </c>
      <c r="S44" s="13" t="s">
        <v>187</v>
      </c>
      <c r="T44" s="13" t="s">
        <v>190</v>
      </c>
      <c r="U44" s="13" t="s">
        <v>203</v>
      </c>
      <c r="V44" s="15" t="s">
        <v>20</v>
      </c>
      <c r="W44" s="41" t="s">
        <v>20</v>
      </c>
      <c r="X44" s="15" t="s">
        <v>21</v>
      </c>
      <c r="Y44" s="15" t="s">
        <v>22</v>
      </c>
      <c r="Z44" s="15" t="s">
        <v>23</v>
      </c>
      <c r="AA44" s="15" t="s">
        <v>24</v>
      </c>
      <c r="AB44" s="41" t="s">
        <v>24</v>
      </c>
      <c r="AC44" s="15" t="s">
        <v>86</v>
      </c>
      <c r="AD44" s="15" t="s">
        <v>87</v>
      </c>
      <c r="AE44" s="15" t="s">
        <v>88</v>
      </c>
      <c r="AF44" s="15" t="s">
        <v>89</v>
      </c>
      <c r="AG44" s="41" t="s">
        <v>89</v>
      </c>
      <c r="AH44" s="15" t="s">
        <v>105</v>
      </c>
      <c r="AI44" s="15" t="s">
        <v>106</v>
      </c>
      <c r="AJ44" s="15" t="s">
        <v>107</v>
      </c>
      <c r="AK44" s="15" t="s">
        <v>108</v>
      </c>
      <c r="AL44" s="41" t="s">
        <v>108</v>
      </c>
      <c r="AM44" s="15" t="s">
        <v>160</v>
      </c>
      <c r="AN44" s="15" t="s">
        <v>161</v>
      </c>
      <c r="AO44" s="15" t="s">
        <v>162</v>
      </c>
      <c r="AP44" s="15" t="s">
        <v>163</v>
      </c>
      <c r="AQ44" s="41" t="s">
        <v>163</v>
      </c>
      <c r="AR44" s="15" t="s">
        <v>191</v>
      </c>
      <c r="AS44" s="15" t="s">
        <v>192</v>
      </c>
      <c r="AT44" s="15" t="s">
        <v>193</v>
      </c>
      <c r="AU44" s="15" t="s">
        <v>194</v>
      </c>
      <c r="AV44" s="41" t="s">
        <v>194</v>
      </c>
    </row>
    <row r="45" spans="1:48" ht="16.2" x14ac:dyDescent="0.45">
      <c r="B45" s="467"/>
      <c r="C45" s="468"/>
      <c r="D45" s="14" t="s">
        <v>19</v>
      </c>
      <c r="E45" s="14" t="s">
        <v>81</v>
      </c>
      <c r="F45" s="14" t="s">
        <v>85</v>
      </c>
      <c r="G45" s="14" t="s">
        <v>95</v>
      </c>
      <c r="H45" s="40" t="s">
        <v>96</v>
      </c>
      <c r="I45" s="14" t="s">
        <v>97</v>
      </c>
      <c r="J45" s="14" t="s">
        <v>98</v>
      </c>
      <c r="K45" s="14" t="s">
        <v>99</v>
      </c>
      <c r="L45" s="14" t="s">
        <v>142</v>
      </c>
      <c r="M45" s="40" t="s">
        <v>143</v>
      </c>
      <c r="N45" s="14" t="s">
        <v>149</v>
      </c>
      <c r="O45" s="14" t="s">
        <v>157</v>
      </c>
      <c r="P45" s="14" t="s">
        <v>159</v>
      </c>
      <c r="Q45" s="14" t="s">
        <v>172</v>
      </c>
      <c r="R45" s="40" t="s">
        <v>173</v>
      </c>
      <c r="S45" s="14" t="s">
        <v>188</v>
      </c>
      <c r="T45" s="14" t="s">
        <v>189</v>
      </c>
      <c r="U45" s="14" t="s">
        <v>204</v>
      </c>
      <c r="V45" s="12" t="s">
        <v>25</v>
      </c>
      <c r="W45" s="42" t="s">
        <v>26</v>
      </c>
      <c r="X45" s="12" t="s">
        <v>27</v>
      </c>
      <c r="Y45" s="12" t="s">
        <v>28</v>
      </c>
      <c r="Z45" s="12" t="s">
        <v>29</v>
      </c>
      <c r="AA45" s="12" t="s">
        <v>30</v>
      </c>
      <c r="AB45" s="42" t="s">
        <v>31</v>
      </c>
      <c r="AC45" s="12" t="s">
        <v>90</v>
      </c>
      <c r="AD45" s="12" t="s">
        <v>91</v>
      </c>
      <c r="AE45" s="12" t="s">
        <v>92</v>
      </c>
      <c r="AF45" s="12" t="s">
        <v>93</v>
      </c>
      <c r="AG45" s="42" t="s">
        <v>94</v>
      </c>
      <c r="AH45" s="12" t="s">
        <v>109</v>
      </c>
      <c r="AI45" s="12" t="s">
        <v>110</v>
      </c>
      <c r="AJ45" s="12" t="s">
        <v>111</v>
      </c>
      <c r="AK45" s="12" t="s">
        <v>112</v>
      </c>
      <c r="AL45" s="42" t="s">
        <v>113</v>
      </c>
      <c r="AM45" s="12" t="s">
        <v>164</v>
      </c>
      <c r="AN45" s="12" t="s">
        <v>165</v>
      </c>
      <c r="AO45" s="12" t="s">
        <v>166</v>
      </c>
      <c r="AP45" s="12" t="s">
        <v>167</v>
      </c>
      <c r="AQ45" s="42" t="s">
        <v>168</v>
      </c>
      <c r="AR45" s="12" t="s">
        <v>195</v>
      </c>
      <c r="AS45" s="12" t="s">
        <v>196</v>
      </c>
      <c r="AT45" s="12" t="s">
        <v>197</v>
      </c>
      <c r="AU45" s="12" t="s">
        <v>198</v>
      </c>
      <c r="AV45" s="42" t="s">
        <v>199</v>
      </c>
    </row>
    <row r="46" spans="1:48" outlineLevel="1" x14ac:dyDescent="0.3">
      <c r="B46" s="200" t="s">
        <v>251</v>
      </c>
      <c r="C46" s="273"/>
      <c r="D46" s="274">
        <f>31+30+31</f>
        <v>92</v>
      </c>
      <c r="E46" s="274">
        <f>31+28+31</f>
        <v>90</v>
      </c>
      <c r="F46" s="274">
        <f>30+31+30</f>
        <v>91</v>
      </c>
      <c r="G46" s="274">
        <f>31+31+30</f>
        <v>92</v>
      </c>
      <c r="H46" s="122"/>
      <c r="I46" s="274">
        <f>31+30+31</f>
        <v>92</v>
      </c>
      <c r="J46" s="274">
        <f>31+29+31</f>
        <v>91</v>
      </c>
      <c r="K46" s="274">
        <f>30+31+30</f>
        <v>91</v>
      </c>
      <c r="L46" s="274">
        <f>31+31+30</f>
        <v>92</v>
      </c>
      <c r="M46" s="122"/>
      <c r="N46" s="274">
        <f>31+30+31</f>
        <v>92</v>
      </c>
      <c r="O46" s="274">
        <f>31+28+31</f>
        <v>90</v>
      </c>
      <c r="P46" s="274">
        <f>30+31+30</f>
        <v>91</v>
      </c>
      <c r="Q46" s="274">
        <f>31+31+30</f>
        <v>92</v>
      </c>
      <c r="R46" s="122"/>
      <c r="S46" s="274">
        <f>31+30+31</f>
        <v>92</v>
      </c>
      <c r="T46" s="274">
        <f>31+28+31</f>
        <v>90</v>
      </c>
      <c r="U46" s="274">
        <f>30+31+30</f>
        <v>91</v>
      </c>
      <c r="V46" s="274">
        <f>31+31+30</f>
        <v>92</v>
      </c>
      <c r="W46" s="122"/>
      <c r="X46" s="274">
        <f>31+30+31</f>
        <v>92</v>
      </c>
      <c r="Y46" s="274">
        <f>31+28+31</f>
        <v>90</v>
      </c>
      <c r="Z46" s="274">
        <f>30+31+30</f>
        <v>91</v>
      </c>
      <c r="AA46" s="274">
        <f>31+31+30</f>
        <v>92</v>
      </c>
      <c r="AB46" s="122"/>
      <c r="AC46" s="274">
        <f>31+30+31</f>
        <v>92</v>
      </c>
      <c r="AD46" s="274">
        <f>31+29+31</f>
        <v>91</v>
      </c>
      <c r="AE46" s="274">
        <f>30+31+30</f>
        <v>91</v>
      </c>
      <c r="AF46" s="274">
        <f>31+31+30</f>
        <v>92</v>
      </c>
      <c r="AG46" s="122"/>
      <c r="AH46" s="274">
        <f>31+30+31</f>
        <v>92</v>
      </c>
      <c r="AI46" s="274">
        <f>31+28+31</f>
        <v>90</v>
      </c>
      <c r="AJ46" s="274">
        <f>30+31+30</f>
        <v>91</v>
      </c>
      <c r="AK46" s="274">
        <f>31+31+30</f>
        <v>92</v>
      </c>
      <c r="AL46" s="122"/>
      <c r="AM46" s="274">
        <f>31+30+31</f>
        <v>92</v>
      </c>
      <c r="AN46" s="274">
        <f>31+28+31</f>
        <v>90</v>
      </c>
      <c r="AO46" s="274">
        <f>30+31+30</f>
        <v>91</v>
      </c>
      <c r="AP46" s="274">
        <f>31+31+30</f>
        <v>92</v>
      </c>
      <c r="AQ46" s="122"/>
      <c r="AR46" s="274">
        <f>31+30+31</f>
        <v>92</v>
      </c>
      <c r="AS46" s="274">
        <f>31+28+31</f>
        <v>90</v>
      </c>
      <c r="AT46" s="274">
        <f>30+31+30</f>
        <v>91</v>
      </c>
      <c r="AU46" s="274">
        <f>31+31+30</f>
        <v>92</v>
      </c>
      <c r="AV46" s="122"/>
    </row>
    <row r="47" spans="1:48" outlineLevel="1" x14ac:dyDescent="0.3">
      <c r="B47" s="435" t="s">
        <v>252</v>
      </c>
      <c r="C47" s="436"/>
      <c r="D47" s="275">
        <v>9.1942057111172737</v>
      </c>
      <c r="E47" s="276">
        <v>8.9623365548607161</v>
      </c>
      <c r="F47" s="276">
        <v>8.6301543131798635</v>
      </c>
      <c r="G47" s="276">
        <v>7.6757679180887379</v>
      </c>
      <c r="H47" s="126"/>
      <c r="I47" s="276">
        <v>7.8153287082920375</v>
      </c>
      <c r="J47" s="276">
        <v>6.3716259298618487</v>
      </c>
      <c r="K47" s="276">
        <v>4.7918510952218822</v>
      </c>
      <c r="L47" s="276">
        <v>7.0218474077428121</v>
      </c>
      <c r="M47" s="31"/>
      <c r="N47" s="276">
        <v>7.6006756756756761</v>
      </c>
      <c r="O47" s="276">
        <v>7.5755510111338324</v>
      </c>
      <c r="P47" s="276">
        <v>8.2270632133450388</v>
      </c>
      <c r="Q47" s="276">
        <v>8.6667021276595744</v>
      </c>
      <c r="R47" s="31"/>
      <c r="S47" s="276">
        <v>7.8075841334497138</v>
      </c>
      <c r="T47" s="276">
        <v>7.6211198722427387</v>
      </c>
      <c r="U47" s="276">
        <v>7.1111595846784761</v>
      </c>
      <c r="V47" s="277">
        <f>AVERAGE(Q47,L47,G47)</f>
        <v>7.7881058178303748</v>
      </c>
      <c r="W47" s="31"/>
      <c r="X47" s="277">
        <f t="shared" ref="X47:AA47" si="39">AVERAGE(S47,N47,I47)</f>
        <v>7.7411961724724749</v>
      </c>
      <c r="Y47" s="277">
        <f t="shared" si="39"/>
        <v>7.1894322710794727</v>
      </c>
      <c r="Z47" s="277">
        <f t="shared" si="39"/>
        <v>6.7100246310817999</v>
      </c>
      <c r="AA47" s="277">
        <f t="shared" si="39"/>
        <v>7.8255517844109201</v>
      </c>
      <c r="AB47" s="278"/>
      <c r="AC47" s="277">
        <f t="shared" ref="AC47:AF47" si="40">AVERAGE(X47,S47,N47)</f>
        <v>7.7164853271992895</v>
      </c>
      <c r="AD47" s="277">
        <f t="shared" si="40"/>
        <v>7.4620343848186819</v>
      </c>
      <c r="AE47" s="277">
        <f t="shared" si="40"/>
        <v>7.3494158097017719</v>
      </c>
      <c r="AF47" s="277">
        <f t="shared" si="40"/>
        <v>8.0934532433002904</v>
      </c>
      <c r="AG47" s="278"/>
      <c r="AH47" s="277">
        <f t="shared" ref="AH47:AK47" si="41">AVERAGE(AC47,X47,S47)</f>
        <v>7.7550885443738267</v>
      </c>
      <c r="AI47" s="277">
        <f t="shared" si="41"/>
        <v>7.4241955093802972</v>
      </c>
      <c r="AJ47" s="277">
        <f t="shared" si="41"/>
        <v>7.0568666751540157</v>
      </c>
      <c r="AK47" s="277">
        <f t="shared" si="41"/>
        <v>7.9023702818471948</v>
      </c>
      <c r="AL47" s="278"/>
      <c r="AM47" s="277">
        <f t="shared" ref="AM47:AP47" si="42">AVERAGE(AH47,AC47,X47)</f>
        <v>7.7375900146818637</v>
      </c>
      <c r="AN47" s="277">
        <f t="shared" si="42"/>
        <v>7.3585540550928172</v>
      </c>
      <c r="AO47" s="277">
        <f t="shared" si="42"/>
        <v>7.0387690386458628</v>
      </c>
      <c r="AP47" s="277">
        <f t="shared" si="42"/>
        <v>7.9404584365194681</v>
      </c>
      <c r="AQ47" s="278"/>
      <c r="AR47" s="277">
        <f t="shared" ref="AR47:AU47" si="43">AVERAGE(AM47,AH47,AC47)</f>
        <v>7.7363879620849936</v>
      </c>
      <c r="AS47" s="277">
        <f t="shared" si="43"/>
        <v>7.4149279830972654</v>
      </c>
      <c r="AT47" s="277">
        <f t="shared" si="43"/>
        <v>7.1483505078338831</v>
      </c>
      <c r="AU47" s="277">
        <f t="shared" si="43"/>
        <v>7.9787606538889841</v>
      </c>
      <c r="AV47" s="278"/>
    </row>
    <row r="48" spans="1:48" s="23" customFormat="1" outlineLevel="1" x14ac:dyDescent="0.3">
      <c r="B48" s="443" t="s">
        <v>253</v>
      </c>
      <c r="C48" s="444"/>
      <c r="D48" s="279">
        <f>D46/D47</f>
        <v>10.00630210924661</v>
      </c>
      <c r="E48" s="279">
        <f>E46/E47</f>
        <v>10.042024136126486</v>
      </c>
      <c r="F48" s="274">
        <f>F46/F47</f>
        <v>10.544423274219552</v>
      </c>
      <c r="G48" s="274">
        <f>G46/G47</f>
        <v>11.985771453979545</v>
      </c>
      <c r="H48" s="126"/>
      <c r="I48" s="274">
        <f>I46/I47</f>
        <v>11.771737752039567</v>
      </c>
      <c r="J48" s="274">
        <f>J46/J47</f>
        <v>14.28206881598479</v>
      </c>
      <c r="K48" s="274">
        <f>K46/K47</f>
        <v>18.990573411335589</v>
      </c>
      <c r="L48" s="279">
        <f>L46/L47</f>
        <v>13.101965146459028</v>
      </c>
      <c r="M48" s="31"/>
      <c r="N48" s="279">
        <f>N46/N47</f>
        <v>12.104187038847897</v>
      </c>
      <c r="O48" s="279">
        <f>O46/O47</f>
        <v>11.880323935212958</v>
      </c>
      <c r="P48" s="279">
        <f>P46/P47</f>
        <v>11.061055159074236</v>
      </c>
      <c r="Q48" s="279">
        <f>Q46/Q47</f>
        <v>10.615341181091731</v>
      </c>
      <c r="R48" s="31"/>
      <c r="S48" s="279">
        <f>S46/S47</f>
        <v>11.783414488721057</v>
      </c>
      <c r="T48" s="279">
        <f>T46/T47</f>
        <v>11.809288071664309</v>
      </c>
      <c r="U48" s="279">
        <f>U46/U47</f>
        <v>12.79678776947522</v>
      </c>
      <c r="V48" s="279">
        <f>V46/V47</f>
        <v>11.812885206229714</v>
      </c>
      <c r="W48" s="31"/>
      <c r="X48" s="279">
        <f>X46/X47</f>
        <v>11.884468233365535</v>
      </c>
      <c r="Y48" s="279">
        <f>Y46/Y47</f>
        <v>12.518373719443463</v>
      </c>
      <c r="Z48" s="279">
        <f>Z46/Z47</f>
        <v>13.561798205400752</v>
      </c>
      <c r="AA48" s="279">
        <f>AA46/AA47</f>
        <v>11.756359491898172</v>
      </c>
      <c r="AB48" s="31"/>
      <c r="AC48" s="279">
        <f>AC46/AC47</f>
        <v>11.922526396274707</v>
      </c>
      <c r="AD48" s="279">
        <f>AD46/AD47</f>
        <v>12.195065756482867</v>
      </c>
      <c r="AE48" s="279">
        <f>AE46/AE47</f>
        <v>12.381936517984638</v>
      </c>
      <c r="AF48" s="279">
        <f>AF46/AF47</f>
        <v>11.367212144724135</v>
      </c>
      <c r="AG48" s="31"/>
      <c r="AH48" s="279">
        <f>AH46/AH47</f>
        <v>11.863178540591171</v>
      </c>
      <c r="AI48" s="279">
        <f>AI46/AI47</f>
        <v>12.122525583585064</v>
      </c>
      <c r="AJ48" s="279">
        <f>AJ46/AJ47</f>
        <v>12.89524149866611</v>
      </c>
      <c r="AK48" s="279">
        <f>AK46/AK47</f>
        <v>11.642076581925849</v>
      </c>
      <c r="AL48" s="31"/>
      <c r="AM48" s="279">
        <f>AM46/AM47</f>
        <v>11.890007072671533</v>
      </c>
      <c r="AN48" s="279">
        <f>AN46/AN47</f>
        <v>12.230663704605318</v>
      </c>
      <c r="AO48" s="279">
        <f>AO46/AO47</f>
        <v>12.928396925708309</v>
      </c>
      <c r="AP48" s="279">
        <f>AP46/AP47</f>
        <v>11.58623280198495</v>
      </c>
      <c r="AQ48" s="31"/>
      <c r="AR48" s="279">
        <f>AR46/AR47</f>
        <v>11.89185449991388</v>
      </c>
      <c r="AS48" s="279">
        <f>AS46/AS47</f>
        <v>12.137676887106648</v>
      </c>
      <c r="AT48" s="279">
        <f>AT46/AT47</f>
        <v>12.730209563769016</v>
      </c>
      <c r="AU48" s="279">
        <f>AU46/AU47</f>
        <v>11.530612834608297</v>
      </c>
      <c r="AV48" s="31"/>
    </row>
    <row r="49" spans="2:48" outlineLevel="1" x14ac:dyDescent="0.3">
      <c r="B49" s="435" t="s">
        <v>254</v>
      </c>
      <c r="C49" s="436"/>
      <c r="D49" s="275">
        <v>1.6062306215857083</v>
      </c>
      <c r="E49" s="275">
        <v>1.3943173943173943</v>
      </c>
      <c r="F49" s="276">
        <v>1.4497759029791721</v>
      </c>
      <c r="G49" s="276">
        <v>1.3989146070354381</v>
      </c>
      <c r="H49" s="126"/>
      <c r="I49" s="276">
        <v>1.5875630013487614</v>
      </c>
      <c r="J49" s="276">
        <v>1.3387615601125855</v>
      </c>
      <c r="K49" s="276">
        <v>0.93698699330723578</v>
      </c>
      <c r="L49" s="276">
        <v>1.2742039448240299</v>
      </c>
      <c r="M49" s="31"/>
      <c r="N49" s="276">
        <v>1.3925246347264695</v>
      </c>
      <c r="O49" s="276">
        <v>1.3250864591646716</v>
      </c>
      <c r="P49" s="276">
        <v>1.4248805063945227</v>
      </c>
      <c r="Q49" s="276">
        <v>1.5531516927489244</v>
      </c>
      <c r="R49" s="31"/>
      <c r="S49" s="276">
        <v>1.5435220817298883</v>
      </c>
      <c r="T49" s="276">
        <v>1.2842708333333335</v>
      </c>
      <c r="U49" s="276">
        <v>1.2253739040742651</v>
      </c>
      <c r="V49" s="277">
        <f>AVERAGE(Q49,L49,G49)</f>
        <v>1.4087567482027976</v>
      </c>
      <c r="W49" s="31"/>
      <c r="X49" s="277">
        <f t="shared" ref="X49:AA49" si="44">AVERAGE(S49,N49,I49)</f>
        <v>1.5078699059350396</v>
      </c>
      <c r="Y49" s="277">
        <f t="shared" si="44"/>
        <v>1.3160396175368636</v>
      </c>
      <c r="Z49" s="277">
        <f t="shared" si="44"/>
        <v>1.1957471345920079</v>
      </c>
      <c r="AA49" s="277">
        <f t="shared" si="44"/>
        <v>1.4120374619252507</v>
      </c>
      <c r="AB49" s="278"/>
      <c r="AC49" s="277">
        <f t="shared" ref="AC49:AF49" si="45">AVERAGE(X49,S49,N49)</f>
        <v>1.4813055407971323</v>
      </c>
      <c r="AD49" s="277">
        <f t="shared" si="45"/>
        <v>1.3084656366782896</v>
      </c>
      <c r="AE49" s="277">
        <f t="shared" si="45"/>
        <v>1.2820005150202654</v>
      </c>
      <c r="AF49" s="277">
        <f t="shared" si="45"/>
        <v>1.4579819676256578</v>
      </c>
      <c r="AG49" s="278"/>
      <c r="AH49" s="277">
        <f t="shared" ref="AH49:AK49" si="46">AVERAGE(AC49,X49,S49)</f>
        <v>1.5108991761540198</v>
      </c>
      <c r="AI49" s="277">
        <f t="shared" si="46"/>
        <v>1.3029253625161621</v>
      </c>
      <c r="AJ49" s="277">
        <f t="shared" si="46"/>
        <v>1.234373851228846</v>
      </c>
      <c r="AK49" s="277">
        <f t="shared" si="46"/>
        <v>1.4262587259179023</v>
      </c>
      <c r="AL49" s="278"/>
      <c r="AM49" s="277">
        <f t="shared" ref="AM49:AP49" si="47">AVERAGE(AH49,AC49,X49)</f>
        <v>1.500024874295397</v>
      </c>
      <c r="AN49" s="277">
        <f t="shared" si="47"/>
        <v>1.3091435389104384</v>
      </c>
      <c r="AO49" s="277">
        <f t="shared" si="47"/>
        <v>1.2373738336137066</v>
      </c>
      <c r="AP49" s="277">
        <f t="shared" si="47"/>
        <v>1.4320927184896035</v>
      </c>
      <c r="AQ49" s="278"/>
      <c r="AR49" s="277">
        <f t="shared" ref="AR49:AU49" si="48">AVERAGE(AM49,AH49,AC49)</f>
        <v>1.4974098637488495</v>
      </c>
      <c r="AS49" s="277">
        <f t="shared" si="48"/>
        <v>1.3068448460349635</v>
      </c>
      <c r="AT49" s="277">
        <f t="shared" si="48"/>
        <v>1.2512493999542726</v>
      </c>
      <c r="AU49" s="277">
        <f t="shared" si="48"/>
        <v>1.4387778040110544</v>
      </c>
      <c r="AV49" s="278"/>
    </row>
    <row r="50" spans="2:48" s="23" customFormat="1" outlineLevel="1" x14ac:dyDescent="0.3">
      <c r="B50" s="443" t="s">
        <v>253</v>
      </c>
      <c r="C50" s="444"/>
      <c r="D50" s="279">
        <f>D46/D49</f>
        <v>57.276955602536987</v>
      </c>
      <c r="E50" s="279">
        <f>E46/E49</f>
        <v>64.547713717693838</v>
      </c>
      <c r="F50" s="274">
        <f>F46/F49</f>
        <v>62.768321513002363</v>
      </c>
      <c r="G50" s="274">
        <f>G46/G49</f>
        <v>65.765272259873825</v>
      </c>
      <c r="H50" s="126"/>
      <c r="I50" s="274">
        <f>I46/I49</f>
        <v>57.950456090144868</v>
      </c>
      <c r="J50" s="274">
        <f>J46/J49</f>
        <v>67.973269259648589</v>
      </c>
      <c r="K50" s="274">
        <f>K46/K49</f>
        <v>97.119811320754721</v>
      </c>
      <c r="L50" s="279">
        <f>L46/L49</f>
        <v>72.201942533387296</v>
      </c>
      <c r="M50" s="31"/>
      <c r="N50" s="279">
        <f>N46/N49</f>
        <v>66.067053828510083</v>
      </c>
      <c r="O50" s="279">
        <f>O46/O49</f>
        <v>67.920096366191515</v>
      </c>
      <c r="P50" s="279">
        <f>P46/P49</f>
        <v>63.865004533091565</v>
      </c>
      <c r="Q50" s="279">
        <f>Q46/Q49</f>
        <v>59.234394444221429</v>
      </c>
      <c r="R50" s="31"/>
      <c r="S50" s="279">
        <f>S46/S49</f>
        <v>59.603941588507659</v>
      </c>
      <c r="T50" s="279">
        <f>T46/T49</f>
        <v>70.078676291670035</v>
      </c>
      <c r="U50" s="279">
        <f>U46/U49</f>
        <v>74.263047138047142</v>
      </c>
      <c r="V50" s="279">
        <f>V46/V49</f>
        <v>65.305809620694106</v>
      </c>
      <c r="W50" s="31"/>
      <c r="X50" s="279">
        <f>X46/X49</f>
        <v>61.01322112596327</v>
      </c>
      <c r="Y50" s="279">
        <f>Y46/Y49</f>
        <v>68.38699899357627</v>
      </c>
      <c r="Z50" s="279">
        <f>Z46/Z49</f>
        <v>76.103046678886201</v>
      </c>
      <c r="AA50" s="279">
        <f>AA46/AA49</f>
        <v>65.154078755504173</v>
      </c>
      <c r="AB50" s="31"/>
      <c r="AC50" s="279">
        <f>AC46/AC49</f>
        <v>62.1073758695942</v>
      </c>
      <c r="AD50" s="279">
        <f>AD46/AD49</f>
        <v>69.547107275216902</v>
      </c>
      <c r="AE50" s="279">
        <f>AE46/AE49</f>
        <v>70.982810797514773</v>
      </c>
      <c r="AF50" s="279">
        <f>AF46/AF49</f>
        <v>63.100917599017478</v>
      </c>
      <c r="AG50" s="31"/>
      <c r="AH50" s="279">
        <f>AH46/AH49</f>
        <v>60.890892954343364</v>
      </c>
      <c r="AI50" s="279">
        <f>AI46/AI49</f>
        <v>69.075330474951585</v>
      </c>
      <c r="AJ50" s="279">
        <f>AJ46/AJ49</f>
        <v>73.721587596340868</v>
      </c>
      <c r="AK50" s="279">
        <f>AK46/AK49</f>
        <v>64.504425689519437</v>
      </c>
      <c r="AL50" s="31"/>
      <c r="AM50" s="279">
        <f>AM46/AM49</f>
        <v>61.332316267898513</v>
      </c>
      <c r="AN50" s="279">
        <f>AN46/AN49</f>
        <v>68.747236131879276</v>
      </c>
      <c r="AO50" s="279">
        <f>AO46/AO49</f>
        <v>73.542851422870086</v>
      </c>
      <c r="AP50" s="279">
        <f>AP46/AP49</f>
        <v>64.241650566473353</v>
      </c>
      <c r="AQ50" s="31"/>
      <c r="AR50" s="279">
        <f>AR46/AR49</f>
        <v>61.439424320120906</v>
      </c>
      <c r="AS50" s="279">
        <f>AS46/AS49</f>
        <v>68.868160036797605</v>
      </c>
      <c r="AT50" s="279">
        <f>AT46/AT49</f>
        <v>72.727307604163983</v>
      </c>
      <c r="AU50" s="279">
        <f>AU46/AU49</f>
        <v>63.943160468225535</v>
      </c>
      <c r="AV50" s="31"/>
    </row>
    <row r="51" spans="2:48" s="23" customFormat="1" outlineLevel="1" x14ac:dyDescent="0.3">
      <c r="B51" s="435" t="s">
        <v>255</v>
      </c>
      <c r="C51" s="436"/>
      <c r="D51" s="275">
        <v>1.9771013175829171</v>
      </c>
      <c r="E51" s="275">
        <v>1.8345946931704202</v>
      </c>
      <c r="F51" s="276">
        <v>1.9203771608171816</v>
      </c>
      <c r="G51" s="276">
        <v>1.7983525258468513</v>
      </c>
      <c r="H51" s="127"/>
      <c r="I51" s="276">
        <v>2.0600589535740608</v>
      </c>
      <c r="J51" s="276">
        <v>2.0023053021950488</v>
      </c>
      <c r="K51" s="276">
        <v>1.7239776951672863</v>
      </c>
      <c r="L51" s="276">
        <v>1.9809600160336707</v>
      </c>
      <c r="M51" s="280"/>
      <c r="N51" s="276">
        <v>1.9504092899295642</v>
      </c>
      <c r="O51" s="276">
        <v>1.9276315789473686</v>
      </c>
      <c r="P51" s="276">
        <v>1.9574090505767525</v>
      </c>
      <c r="Q51" s="276">
        <v>2.0560415978870914</v>
      </c>
      <c r="R51" s="280"/>
      <c r="S51" s="276">
        <v>1.9597487203350394</v>
      </c>
      <c r="T51" s="276">
        <v>1.8546822113576533</v>
      </c>
      <c r="U51" s="276">
        <v>1.7543294401933145</v>
      </c>
      <c r="V51" s="277">
        <f>AVERAGE(Q51,L51,G51)</f>
        <v>1.9451180465892044</v>
      </c>
      <c r="W51" s="280"/>
      <c r="X51" s="277">
        <f t="shared" ref="X51:AA51" si="49">AVERAGE(S51,N51,I51)</f>
        <v>1.9900723212795548</v>
      </c>
      <c r="Y51" s="277">
        <f t="shared" si="49"/>
        <v>1.9282063641666902</v>
      </c>
      <c r="Z51" s="277">
        <f t="shared" si="49"/>
        <v>1.8119053953124509</v>
      </c>
      <c r="AA51" s="277">
        <f t="shared" si="49"/>
        <v>1.9940398868366556</v>
      </c>
      <c r="AB51" s="31"/>
      <c r="AC51" s="277">
        <f t="shared" ref="AC51:AF51" si="50">AVERAGE(X51,S51,N51)</f>
        <v>1.9667434438480529</v>
      </c>
      <c r="AD51" s="277">
        <f t="shared" si="50"/>
        <v>1.9035067181572376</v>
      </c>
      <c r="AE51" s="277">
        <f t="shared" si="50"/>
        <v>1.8412146286941729</v>
      </c>
      <c r="AF51" s="277">
        <f t="shared" si="50"/>
        <v>1.9983998437709838</v>
      </c>
      <c r="AG51" s="31"/>
      <c r="AH51" s="277">
        <f t="shared" ref="AH51:AK51" si="51">AVERAGE(AC51,X51,S51)</f>
        <v>1.9721881618208823</v>
      </c>
      <c r="AI51" s="277">
        <f t="shared" si="51"/>
        <v>1.8954650978938605</v>
      </c>
      <c r="AJ51" s="277">
        <f t="shared" si="51"/>
        <v>1.8024831547333129</v>
      </c>
      <c r="AK51" s="277">
        <f t="shared" si="51"/>
        <v>1.9791859257322812</v>
      </c>
      <c r="AL51" s="31"/>
      <c r="AM51" s="277">
        <f t="shared" ref="AM51:AP51" si="52">AVERAGE(AH51,AC51,X51)</f>
        <v>1.9763346423161634</v>
      </c>
      <c r="AN51" s="277">
        <f t="shared" si="52"/>
        <v>1.9090593934059295</v>
      </c>
      <c r="AO51" s="277">
        <f t="shared" si="52"/>
        <v>1.8185343929133122</v>
      </c>
      <c r="AP51" s="277">
        <f t="shared" si="52"/>
        <v>1.9905418854466401</v>
      </c>
      <c r="AQ51" s="31"/>
      <c r="AR51" s="277">
        <f t="shared" ref="AR51:AU51" si="53">AVERAGE(AM51,AH51,AC51)</f>
        <v>1.9717554159950328</v>
      </c>
      <c r="AS51" s="277">
        <f t="shared" si="53"/>
        <v>1.9026770698190092</v>
      </c>
      <c r="AT51" s="277">
        <f t="shared" si="53"/>
        <v>1.8207440587802661</v>
      </c>
      <c r="AU51" s="277">
        <f t="shared" si="53"/>
        <v>1.9893758849833016</v>
      </c>
      <c r="AV51" s="31"/>
    </row>
    <row r="52" spans="2:48" s="23" customFormat="1" outlineLevel="1" x14ac:dyDescent="0.3">
      <c r="B52" s="443" t="s">
        <v>256</v>
      </c>
      <c r="C52" s="444"/>
      <c r="D52" s="16">
        <f>D46/D51</f>
        <v>46.532769556025364</v>
      </c>
      <c r="E52" s="16">
        <f>E46/E51</f>
        <v>49.057157057654081</v>
      </c>
      <c r="F52" s="101">
        <f>F46/F51</f>
        <v>47.386524822695037</v>
      </c>
      <c r="G52" s="101">
        <f>G46/G51</f>
        <v>51.157934096751603</v>
      </c>
      <c r="H52" s="128"/>
      <c r="I52" s="101">
        <f>I46/I51</f>
        <v>44.658916115185114</v>
      </c>
      <c r="J52" s="101">
        <f>J46/J51</f>
        <v>45.447614756970509</v>
      </c>
      <c r="K52" s="101">
        <f>K46/K51</f>
        <v>52.784905660377355</v>
      </c>
      <c r="L52" s="16">
        <f>L46/L51</f>
        <v>46.44212869283691</v>
      </c>
      <c r="M52" s="28"/>
      <c r="N52" s="16">
        <f>N46/N51</f>
        <v>47.169586647796592</v>
      </c>
      <c r="O52" s="16">
        <f>O46/O51</f>
        <v>46.689419795221838</v>
      </c>
      <c r="P52" s="16">
        <f>P46/P51</f>
        <v>46.490027198549406</v>
      </c>
      <c r="Q52" s="16">
        <f>Q46/Q51</f>
        <v>44.74617638794107</v>
      </c>
      <c r="R52" s="28"/>
      <c r="S52" s="16">
        <f>S46/S51</f>
        <v>46.944794016383717</v>
      </c>
      <c r="T52" s="16">
        <f>T46/T51</f>
        <v>48.525833400924647</v>
      </c>
      <c r="U52" s="16">
        <f>U46/U51</f>
        <v>51.871671258034894</v>
      </c>
      <c r="V52" s="16">
        <f>V46/V51</f>
        <v>47.297900588256567</v>
      </c>
      <c r="W52" s="28"/>
      <c r="X52" s="16">
        <f>X46/X51</f>
        <v>46.229475691037628</v>
      </c>
      <c r="Y52" s="16">
        <f>Y46/Y51</f>
        <v>46.675501996330745</v>
      </c>
      <c r="Z52" s="16">
        <f>Z46/Z51</f>
        <v>50.223372718810005</v>
      </c>
      <c r="AA52" s="16">
        <f>AA46/AA51</f>
        <v>46.137492337702824</v>
      </c>
      <c r="AB52" s="28"/>
      <c r="AC52" s="16">
        <f>AC46/AC51</f>
        <v>46.77783484560468</v>
      </c>
      <c r="AD52" s="16">
        <f>AD46/AD51</f>
        <v>47.80650319327269</v>
      </c>
      <c r="AE52" s="16">
        <f>AE46/AE51</f>
        <v>49.423895824974551</v>
      </c>
      <c r="AF52" s="16">
        <f>AF46/AF51</f>
        <v>46.036833062594646</v>
      </c>
      <c r="AG52" s="28"/>
      <c r="AH52" s="16">
        <f>AH46/AH51</f>
        <v>46.648692949793499</v>
      </c>
      <c r="AI52" s="16">
        <f>AI46/AI51</f>
        <v>47.481750046467852</v>
      </c>
      <c r="AJ52" s="16">
        <f>AJ46/AJ51</f>
        <v>50.485908709345992</v>
      </c>
      <c r="AK52" s="16">
        <f>AK46/AK51</f>
        <v>46.483758197684644</v>
      </c>
      <c r="AL52" s="28"/>
      <c r="AM52" s="16">
        <f>AM46/AM51</f>
        <v>46.550820913699461</v>
      </c>
      <c r="AN52" s="16">
        <f>AN46/AN51</f>
        <v>47.143635400170609</v>
      </c>
      <c r="AO52" s="16">
        <f>AO46/AO51</f>
        <v>50.040296380766819</v>
      </c>
      <c r="AP52" s="16">
        <f>AP46/AP51</f>
        <v>46.218570266034334</v>
      </c>
      <c r="AQ52" s="28"/>
      <c r="AR52" s="16">
        <f>AR46/AR51</f>
        <v>46.658931048794827</v>
      </c>
      <c r="AS52" s="16">
        <f>AS46/AS51</f>
        <v>47.301773604998132</v>
      </c>
      <c r="AT52" s="16">
        <f>AT46/AT51</f>
        <v>49.979567178135831</v>
      </c>
      <c r="AU52" s="16">
        <f>AU46/AU51</f>
        <v>46.245659603324398</v>
      </c>
      <c r="AV52" s="28"/>
    </row>
    <row r="53" spans="2:48" s="23" customFormat="1" outlineLevel="1" x14ac:dyDescent="0.3">
      <c r="B53" s="435" t="s">
        <v>257</v>
      </c>
      <c r="C53" s="436"/>
      <c r="D53" s="30">
        <f t="shared" ref="D53:L53" si="54">(D12+D7)/D20</f>
        <v>2.4783172266068774E-2</v>
      </c>
      <c r="E53" s="30">
        <f t="shared" si="54"/>
        <v>1.862044337628033E-2</v>
      </c>
      <c r="F53" s="118">
        <f t="shared" si="54"/>
        <v>1.4104190097872643E-2</v>
      </c>
      <c r="G53" s="118">
        <f t="shared" si="54"/>
        <v>1.5114935950133718E-2</v>
      </c>
      <c r="H53" s="128">
        <f t="shared" si="54"/>
        <v>1.5114935950133718E-2</v>
      </c>
      <c r="I53" s="118">
        <f t="shared" si="54"/>
        <v>9.6713821566244626E-3</v>
      </c>
      <c r="J53" s="118">
        <f t="shared" si="54"/>
        <v>9.1597553031598795E-3</v>
      </c>
      <c r="K53" s="118">
        <f t="shared" si="54"/>
        <v>1.5555616562459249E-2</v>
      </c>
      <c r="L53" s="118">
        <f t="shared" si="54"/>
        <v>1.6589218539890038E-2</v>
      </c>
      <c r="M53" s="28"/>
      <c r="N53" s="118">
        <f>(N12+N7)/N20</f>
        <v>1.4228367975494099E-2</v>
      </c>
      <c r="O53" s="118">
        <f>(O12+O7)/O20</f>
        <v>1.4373528458035493E-2</v>
      </c>
      <c r="P53" s="118">
        <f>(P12+P7)/P20</f>
        <v>1.4910030939586384E-2</v>
      </c>
      <c r="Q53" s="118">
        <f>(Q12+Q7)/Q20</f>
        <v>1.4140275096678831E-2</v>
      </c>
      <c r="R53" s="28"/>
      <c r="S53" s="118">
        <f>(S12+S7)/S20</f>
        <v>1.3421701538813684E-2</v>
      </c>
      <c r="T53" s="118">
        <f>(T12+T7)/T20</f>
        <v>1.2669917130403319E-2</v>
      </c>
      <c r="U53" s="118">
        <f>(U12+U7)/U20</f>
        <v>1.3119668137035531E-2</v>
      </c>
      <c r="V53" s="34">
        <f>AVERAGE(Q53,S53,T53,U53)</f>
        <v>1.3337890475732842E-2</v>
      </c>
      <c r="W53" s="28"/>
      <c r="X53" s="34">
        <f>AVERAGE(S53,T53,U53,V53)</f>
        <v>1.3137294320496344E-2</v>
      </c>
      <c r="Y53" s="34">
        <f>AVERAGE(T53,U53,V53,X53)</f>
        <v>1.306619251591701E-2</v>
      </c>
      <c r="Z53" s="34">
        <f>AVERAGE(U53,V53,X53,Y53)</f>
        <v>1.3165261362295431E-2</v>
      </c>
      <c r="AA53" s="34">
        <f>AVERAGE(V53,X53,Y53,Z53)</f>
        <v>1.3176659668610407E-2</v>
      </c>
      <c r="AB53" s="28"/>
      <c r="AC53" s="34">
        <f>AVERAGE(X53,Y53,Z53,AA53)</f>
        <v>1.3136351966829798E-2</v>
      </c>
      <c r="AD53" s="34">
        <f>AVERAGE(Y53,Z53,AA53,AC53)</f>
        <v>1.3136116378413162E-2</v>
      </c>
      <c r="AE53" s="34">
        <f>AVERAGE(Z53,AA53,AC53,AD53)</f>
        <v>1.3153597344037201E-2</v>
      </c>
      <c r="AF53" s="34">
        <f>AVERAGE(AA53,AC53,AD53,AE53)</f>
        <v>1.3150681339472642E-2</v>
      </c>
      <c r="AG53" s="28"/>
      <c r="AH53" s="34">
        <f>AVERAGE(AC53,AD53,AE53,AF53)</f>
        <v>1.31441867571882E-2</v>
      </c>
      <c r="AI53" s="34">
        <f>AVERAGE(AD53,AE53,AF53,AH53)</f>
        <v>1.31461454547778E-2</v>
      </c>
      <c r="AJ53" s="34">
        <f>AVERAGE(AE53,AF53,AH53,AI53)</f>
        <v>1.3148652723868962E-2</v>
      </c>
      <c r="AK53" s="34">
        <f>AVERAGE(AF53,AH53,AI53,AJ53)</f>
        <v>1.3147416568826901E-2</v>
      </c>
      <c r="AL53" s="28"/>
      <c r="AM53" s="34">
        <f>AVERAGE(AH53,AI53,AJ53,AK53)</f>
        <v>1.3146600376165465E-2</v>
      </c>
      <c r="AN53" s="34">
        <f>AVERAGE(AI53,AJ53,AK53,AM53)</f>
        <v>1.3147203780909781E-2</v>
      </c>
      <c r="AO53" s="34">
        <f>AVERAGE(AJ53,AK53,AM53,AN53)</f>
        <v>1.3147468362442776E-2</v>
      </c>
      <c r="AP53" s="34">
        <f>AVERAGE(AK53,AM53,AN53,AO53)</f>
        <v>1.3147172272086231E-2</v>
      </c>
      <c r="AQ53" s="28"/>
      <c r="AR53" s="34">
        <f>AVERAGE(AM53,AN53,AO53,AP53)</f>
        <v>1.3147111197901063E-2</v>
      </c>
      <c r="AS53" s="34">
        <f>AVERAGE(AN53,AO53,AP53,AR53)</f>
        <v>1.3147238903334961E-2</v>
      </c>
      <c r="AT53" s="34">
        <f>AVERAGE(AO53,AP53,AR53,AS53)</f>
        <v>1.3147247683941257E-2</v>
      </c>
      <c r="AU53" s="34">
        <f>AVERAGE(AP53,AR53,AS53,AT53)</f>
        <v>1.3147192514315878E-2</v>
      </c>
      <c r="AV53" s="28"/>
    </row>
    <row r="54" spans="2:48" s="23" customFormat="1" outlineLevel="1" x14ac:dyDescent="0.3">
      <c r="B54" s="180" t="s">
        <v>258</v>
      </c>
      <c r="C54" s="201"/>
      <c r="D54" s="30">
        <f t="shared" ref="D54:L54" si="55">D7/(D7+D12)</f>
        <v>0.4648626817447496</v>
      </c>
      <c r="E54" s="30">
        <f t="shared" si="55"/>
        <v>0.23318112633181123</v>
      </c>
      <c r="F54" s="118">
        <f t="shared" si="55"/>
        <v>0.24465558194774345</v>
      </c>
      <c r="G54" s="118">
        <f t="shared" si="55"/>
        <v>0.24268502581755594</v>
      </c>
      <c r="H54" s="128">
        <f t="shared" si="55"/>
        <v>0.24268502581755594</v>
      </c>
      <c r="I54" s="118">
        <f t="shared" si="55"/>
        <v>0.25503355704697983</v>
      </c>
      <c r="J54" s="118">
        <f t="shared" si="55"/>
        <v>0.21017083829956296</v>
      </c>
      <c r="K54" s="118">
        <f t="shared" si="55"/>
        <v>0.50716964482682547</v>
      </c>
      <c r="L54" s="118">
        <f t="shared" si="55"/>
        <v>0.57705725425815724</v>
      </c>
      <c r="M54" s="28"/>
      <c r="N54" s="118">
        <f>N7/(N7+N12)</f>
        <v>0.55229831144465291</v>
      </c>
      <c r="O54" s="118">
        <f>O7/(O7+O12)</f>
        <v>0.30161844041196662</v>
      </c>
      <c r="P54" s="118">
        <f>P7/(P7+P12)</f>
        <v>0.34948805460750854</v>
      </c>
      <c r="Q54" s="118">
        <f>Q7/(Q7+Q12)</f>
        <v>0.3653976120747916</v>
      </c>
      <c r="R54" s="28"/>
      <c r="S54" s="118">
        <f>S7/(S7+S12)</f>
        <v>0.22583979328165377</v>
      </c>
      <c r="T54" s="118">
        <f>T7/(T7+T12)</f>
        <v>0.22327984770193088</v>
      </c>
      <c r="U54" s="118">
        <f>U7/(U7+U12)</f>
        <v>0.20817541959935032</v>
      </c>
      <c r="V54" s="34">
        <f>AVERAGE(Q54,S54,T54,U54)</f>
        <v>0.25567316816443164</v>
      </c>
      <c r="W54" s="28"/>
      <c r="X54" s="34">
        <f>AVERAGE(S54,T54,U54,V54)</f>
        <v>0.22824205718684165</v>
      </c>
      <c r="Y54" s="34">
        <f>AVERAGE(T54,U54,V54,X54)</f>
        <v>0.22884262316313861</v>
      </c>
      <c r="Z54" s="34">
        <f>AVERAGE(U54,V54,X54,Y54)</f>
        <v>0.23023331702844058</v>
      </c>
      <c r="AA54" s="34">
        <f>AVERAGE(V54,X54,Y54,Z54)</f>
        <v>0.23574779138571311</v>
      </c>
      <c r="AB54" s="28"/>
      <c r="AC54" s="34">
        <f>AVERAGE(X54,Y54,Z54,AA54)</f>
        <v>0.23076644719103351</v>
      </c>
      <c r="AD54" s="34">
        <f>AVERAGE(Y54,Z54,AA54,AC54)</f>
        <v>0.23139754469208146</v>
      </c>
      <c r="AE54" s="34">
        <f>AVERAGE(Z54,AA54,AC54,AD54)</f>
        <v>0.23203627507431718</v>
      </c>
      <c r="AF54" s="34">
        <f>AVERAGE(AA54,AC54,AD54,AE54)</f>
        <v>0.2324870145857863</v>
      </c>
      <c r="AG54" s="28"/>
      <c r="AH54" s="34">
        <f>AVERAGE(AC54,AD54,AE54,AF54)</f>
        <v>0.23167182038580458</v>
      </c>
      <c r="AI54" s="34">
        <f>AVERAGE(AD54,AE54,AF54,AH54)</f>
        <v>0.23189816368449739</v>
      </c>
      <c r="AJ54" s="34">
        <f>AVERAGE(AE54,AF54,AH54,AI54)</f>
        <v>0.23202331843260138</v>
      </c>
      <c r="AK54" s="34">
        <f>AVERAGE(AF54,AH54,AI54,AJ54)</f>
        <v>0.23202007927217241</v>
      </c>
      <c r="AL54" s="28"/>
      <c r="AM54" s="34">
        <f>AVERAGE(AH54,AI54,AJ54,AK54)</f>
        <v>0.23190334544376892</v>
      </c>
      <c r="AN54" s="34">
        <f>AVERAGE(AI54,AJ54,AK54,AM54)</f>
        <v>0.23196122670826003</v>
      </c>
      <c r="AO54" s="34">
        <f>AVERAGE(AJ54,AK54,AM54,AN54)</f>
        <v>0.23197699246420067</v>
      </c>
      <c r="AP54" s="34">
        <f>AVERAGE(AK54,AM54,AN54,AO54)</f>
        <v>0.23196541097210052</v>
      </c>
      <c r="AQ54" s="28"/>
      <c r="AR54" s="34">
        <f>AVERAGE(AM54,AN54,AO54,AP54)</f>
        <v>0.23195174389708254</v>
      </c>
      <c r="AS54" s="34">
        <f>AVERAGE(AN54,AO54,AP54,AR54)</f>
        <v>0.23196384351041094</v>
      </c>
      <c r="AT54" s="34">
        <f>AVERAGE(AO54,AP54,AR54,AS54)</f>
        <v>0.23196449771094868</v>
      </c>
      <c r="AU54" s="34">
        <f>AVERAGE(AP54,AR54,AS54,AT54)</f>
        <v>0.23196137402263567</v>
      </c>
      <c r="AV54" s="28"/>
    </row>
    <row r="55" spans="2:48" s="23" customFormat="1" outlineLevel="1" x14ac:dyDescent="0.3">
      <c r="B55" s="200" t="s">
        <v>259</v>
      </c>
      <c r="C55" s="201"/>
      <c r="D55" s="30">
        <f t="shared" ref="D55:L55" si="56">+D16/(D27+D33)</f>
        <v>7.7585075018799465E-2</v>
      </c>
      <c r="E55" s="30">
        <f t="shared" si="56"/>
        <v>0.12468259571674534</v>
      </c>
      <c r="F55" s="113">
        <f t="shared" si="56"/>
        <v>0.19119242713361023</v>
      </c>
      <c r="G55" s="113">
        <f t="shared" si="56"/>
        <v>0.22035590386103276</v>
      </c>
      <c r="H55" s="125">
        <f t="shared" si="56"/>
        <v>0.22035590386103276</v>
      </c>
      <c r="I55" s="281">
        <f t="shared" si="56"/>
        <v>0.20507171706404201</v>
      </c>
      <c r="J55" s="281">
        <f t="shared" si="56"/>
        <v>0.21050752296288999</v>
      </c>
      <c r="K55" s="113">
        <f t="shared" si="56"/>
        <v>0.2146584586535733</v>
      </c>
      <c r="L55" s="113">
        <f t="shared" si="56"/>
        <v>0.22220980757293607</v>
      </c>
      <c r="M55" s="282"/>
      <c r="N55" s="281">
        <f>+N16/(N27+N33)</f>
        <v>0.21164495979407008</v>
      </c>
      <c r="O55" s="281">
        <f>+O16/(O27+O33)</f>
        <v>0.21706605185058006</v>
      </c>
      <c r="P55" s="113">
        <f>+P16/(P27+P33)</f>
        <v>0.22796408734312845</v>
      </c>
      <c r="Q55" s="113">
        <f>+Q16/(Q27+Q33)</f>
        <v>0.23263143527192862</v>
      </c>
      <c r="R55" s="282"/>
      <c r="S55" s="281">
        <f>+S16/(S27+S33)</f>
        <v>0.21831564613072879</v>
      </c>
      <c r="T55" s="281">
        <f>+T16/(T27+T33)</f>
        <v>0.22164512770257855</v>
      </c>
      <c r="U55" s="281">
        <f>+U16/(U27+U33)</f>
        <v>0.21758667345241495</v>
      </c>
      <c r="V55" s="35">
        <f>AVERAGE(Q55,S55,T55,U55)</f>
        <v>0.22254472063941272</v>
      </c>
      <c r="W55" s="282"/>
      <c r="X55" s="283">
        <f>AVERAGE(S55,T55,U55,V55)</f>
        <v>0.22002304198128375</v>
      </c>
      <c r="Y55" s="283">
        <f>AVERAGE(T55,U55,V55,X55)</f>
        <v>0.22044989094392251</v>
      </c>
      <c r="Z55" s="35">
        <f>AVERAGE(U55,V55,X55,Y55)</f>
        <v>0.22015108175425849</v>
      </c>
      <c r="AA55" s="284">
        <f>AVERAGE(V55,X55,Y55,Z55)</f>
        <v>0.22079218382971935</v>
      </c>
      <c r="AB55" s="28"/>
      <c r="AC55" s="283">
        <f>AVERAGE(X55,Y55,Z55,AA55)</f>
        <v>0.22035404962729602</v>
      </c>
      <c r="AD55" s="283">
        <f>AVERAGE(Y55,Z55,AA55,AC55)</f>
        <v>0.22043680153879908</v>
      </c>
      <c r="AE55" s="35">
        <f>AVERAGE(Z55,AA55,AC55,AD55)</f>
        <v>0.22043352918751824</v>
      </c>
      <c r="AF55" s="284">
        <f>AVERAGE(AA55,AC55,AD55,AE55)</f>
        <v>0.22050414104583319</v>
      </c>
      <c r="AG55" s="28"/>
      <c r="AH55" s="283">
        <f>AVERAGE(AC55,AD55,AE55,AF55)</f>
        <v>0.22043213034986162</v>
      </c>
      <c r="AI55" s="283">
        <f>AVERAGE(AD55,AE55,AF55,AH55)</f>
        <v>0.22045165053050303</v>
      </c>
      <c r="AJ55" s="35">
        <f>AVERAGE(AE55,AF55,AH55,AI55)</f>
        <v>0.22045536277842903</v>
      </c>
      <c r="AK55" s="284">
        <f>AVERAGE(AF55,AH55,AI55,AJ55)</f>
        <v>0.2204608211761567</v>
      </c>
      <c r="AL55" s="28"/>
      <c r="AM55" s="283">
        <f>AVERAGE(AH55,AI55,AJ55,AK55)</f>
        <v>0.22044999120873759</v>
      </c>
      <c r="AN55" s="283">
        <f>AVERAGE(AI55,AJ55,AK55,AM55)</f>
        <v>0.22045445642345657</v>
      </c>
      <c r="AO55" s="35">
        <f>AVERAGE(AJ55,AK55,AM55,AN55)</f>
        <v>0.22045515789669495</v>
      </c>
      <c r="AP55" s="284">
        <f>AVERAGE(AK55,AM55,AN55,AO55)</f>
        <v>0.22045510667626145</v>
      </c>
      <c r="AQ55" s="28"/>
      <c r="AR55" s="283">
        <f>AVERAGE(AM55,AN55,AO55,AP55)</f>
        <v>0.22045367805128763</v>
      </c>
      <c r="AS55" s="283">
        <f>AVERAGE(AN55,AO55,AP55,AR55)</f>
        <v>0.22045459976192516</v>
      </c>
      <c r="AT55" s="35">
        <f>AVERAGE(AO55,AP55,AR55,AS55)</f>
        <v>0.2204546355965423</v>
      </c>
      <c r="AU55" s="284">
        <f>AVERAGE(AP55,AR55,AS55,AT55)</f>
        <v>0.22045450502150413</v>
      </c>
      <c r="AV55" s="28"/>
    </row>
    <row r="56" spans="2:48" outlineLevel="1" x14ac:dyDescent="0.3">
      <c r="B56" s="200" t="s">
        <v>260</v>
      </c>
      <c r="C56" s="201"/>
      <c r="D56" s="285"/>
      <c r="E56" s="285">
        <f>+'CFS (Bull-Case)'!E7/((E14+D14)/2)</f>
        <v>6.122482504846076E-2</v>
      </c>
      <c r="F56" s="286">
        <f>+'CFS (Bull-Case)'!F7/((F14+E14)/2)</f>
        <v>5.8442138063667992E-2</v>
      </c>
      <c r="G56" s="286">
        <f>+'CFS (Bull-Case)'!G7/((G14+F14)/2)</f>
        <v>5.7957922263164152E-2</v>
      </c>
      <c r="H56" s="125">
        <f>+'CFS (Bull-Case)'!H7/((H14+G14)/2)</f>
        <v>0.2253370026587061</v>
      </c>
      <c r="I56" s="287">
        <f>+'CFS (Bull-Case)'!I7/((I14+G14)/2)</f>
        <v>5.75858250276855E-2</v>
      </c>
      <c r="J56" s="287">
        <f>+'CFS (Bull-Case)'!J7/((J14+I14)/2)</f>
        <v>5.9117695395957084E-2</v>
      </c>
      <c r="K56" s="286">
        <f>+'CFS (Bull-Case)'!K7/((K14+J14)/2)</f>
        <v>5.9467301657388859E-2</v>
      </c>
      <c r="L56" s="286">
        <f>+'CFS (Bull-Case)'!L7/((L14+K14)/2)</f>
        <v>6.0492940894950963E-2</v>
      </c>
      <c r="M56" s="282"/>
      <c r="N56" s="287">
        <f>+'CFS (Bull-Case)'!N7/((N14+L14)/2)</f>
        <v>6.2547808652661588E-2</v>
      </c>
      <c r="O56" s="287">
        <f>+'CFS (Bull-Case)'!O7/((O14+N14)/2)</f>
        <v>6.251524266319812E-2</v>
      </c>
      <c r="P56" s="286">
        <f>+'CFS (Bull-Case)'!P7/((P14+O14)/2)</f>
        <v>6.0825288199111989E-2</v>
      </c>
      <c r="Q56" s="286">
        <f>+'CFS (Bull-Case)'!Q7/((Q14+P14)/2)</f>
        <v>6.0363072942040873E-2</v>
      </c>
      <c r="R56" s="282"/>
      <c r="S56" s="287">
        <f>+'CFS (Bull-Case)'!S7/((S14+Q14)/2)</f>
        <v>6.052868611709418E-2</v>
      </c>
      <c r="T56" s="287">
        <f>+'CFS (Bull-Case)'!T7/((T14+S14)/2)</f>
        <v>6.0861044576476821E-2</v>
      </c>
      <c r="U56" s="287">
        <f>+'CFS (Bull-Case)'!U7/((U14+T14)/2)</f>
        <v>6.0812805967829661E-2</v>
      </c>
      <c r="V56" s="288">
        <f>AVERAGE(Q56,S56,T56,U56)</f>
        <v>6.0641402400860384E-2</v>
      </c>
      <c r="W56" s="282"/>
      <c r="X56" s="289">
        <f>AVERAGE(S56,T56,U56,V56)</f>
        <v>6.0710984765565267E-2</v>
      </c>
      <c r="Y56" s="289">
        <f>AVERAGE(T56,U56,V56,X56)</f>
        <v>6.0756559427683036E-2</v>
      </c>
      <c r="Z56" s="288">
        <f>AVERAGE(U56,V56,X56,Y56)</f>
        <v>6.0730438140484587E-2</v>
      </c>
      <c r="AA56" s="288">
        <f>AVERAGE(V56,X56,Y56,Z56)</f>
        <v>6.0709846183648324E-2</v>
      </c>
      <c r="AB56" s="290"/>
      <c r="AC56" s="289">
        <f>AVERAGE(X56,Y56,Z56,AA56)</f>
        <v>6.0726957129345303E-2</v>
      </c>
      <c r="AD56" s="289">
        <f>AVERAGE(Y56,Z56,AA56,AC56)</f>
        <v>6.0730950220290313E-2</v>
      </c>
      <c r="AE56" s="288">
        <f>AVERAGE(Z56,AA56,AC56,AD56)</f>
        <v>6.0724547918442132E-2</v>
      </c>
      <c r="AF56" s="288">
        <f>AVERAGE(AA56,AC56,AD56,AE56)</f>
        <v>6.072307536293152E-2</v>
      </c>
      <c r="AG56" s="290"/>
      <c r="AH56" s="289">
        <f>AVERAGE(AC56,AD56,AE56,AF56)</f>
        <v>6.072638265775232E-2</v>
      </c>
      <c r="AI56" s="289">
        <f>AVERAGE(AD56,AE56,AF56,AH56)</f>
        <v>6.0726239039854066E-2</v>
      </c>
      <c r="AJ56" s="288">
        <f>AVERAGE(AE56,AF56,AH56,AI56)</f>
        <v>6.0725061244745013E-2</v>
      </c>
      <c r="AK56" s="288">
        <f>AVERAGE(AF56,AH56,AI56,AJ56)</f>
        <v>6.0725189576320726E-2</v>
      </c>
      <c r="AL56" s="290"/>
      <c r="AM56" s="289">
        <f>AVERAGE(AH56,AI56,AJ56,AK56)</f>
        <v>6.0725718129668031E-2</v>
      </c>
      <c r="AN56" s="289">
        <f>AVERAGE(AI56,AJ56,AK56,AM56)</f>
        <v>6.0725551997646961E-2</v>
      </c>
      <c r="AO56" s="288">
        <f>AVERAGE(AJ56,AK56,AM56,AN56)</f>
        <v>6.0725380237095179E-2</v>
      </c>
      <c r="AP56" s="288">
        <f>AVERAGE(AK56,AM56,AN56,AO56)</f>
        <v>6.0725459985182723E-2</v>
      </c>
      <c r="AQ56" s="290"/>
      <c r="AR56" s="289">
        <f>AVERAGE(AM56,AN56,AO56,AP56)</f>
        <v>6.0725527587398222E-2</v>
      </c>
      <c r="AS56" s="289">
        <f>AVERAGE(AN56,AO56,AP56,AR56)</f>
        <v>6.0725479951830773E-2</v>
      </c>
      <c r="AT56" s="288">
        <f>AVERAGE(AO56,AP56,AR56,AS56)</f>
        <v>6.0725461940376722E-2</v>
      </c>
      <c r="AU56" s="288">
        <f>AVERAGE(AP56,AR56,AS56,AT56)</f>
        <v>6.0725482366197112E-2</v>
      </c>
      <c r="AV56" s="290"/>
    </row>
    <row r="57" spans="2:48" outlineLevel="1" x14ac:dyDescent="0.3">
      <c r="B57" s="200"/>
      <c r="C57" s="201"/>
      <c r="D57" s="285"/>
      <c r="E57" s="285"/>
      <c r="F57" s="286"/>
      <c r="G57" s="286"/>
      <c r="H57" s="125"/>
      <c r="I57" s="287"/>
      <c r="J57" s="287"/>
      <c r="K57" s="286"/>
      <c r="L57" s="286"/>
      <c r="M57" s="282"/>
      <c r="N57" s="287"/>
      <c r="O57" s="287"/>
      <c r="P57" s="286"/>
      <c r="Q57" s="286"/>
      <c r="R57" s="282"/>
      <c r="S57" s="287"/>
      <c r="T57" s="287"/>
      <c r="U57" s="287"/>
      <c r="V57" s="288"/>
      <c r="W57" s="282"/>
      <c r="X57" s="289"/>
      <c r="Y57" s="289"/>
      <c r="Z57" s="288"/>
      <c r="AA57" s="288"/>
      <c r="AB57" s="290"/>
      <c r="AC57" s="289"/>
      <c r="AD57" s="289"/>
      <c r="AE57" s="288"/>
      <c r="AF57" s="288"/>
      <c r="AG57" s="290"/>
      <c r="AH57" s="289"/>
      <c r="AI57" s="289"/>
      <c r="AJ57" s="288"/>
      <c r="AK57" s="288"/>
      <c r="AL57" s="290"/>
      <c r="AM57" s="289"/>
      <c r="AN57" s="289"/>
      <c r="AO57" s="288"/>
      <c r="AP57" s="288"/>
      <c r="AQ57" s="290"/>
      <c r="AR57" s="289"/>
      <c r="AS57" s="289"/>
      <c r="AT57" s="288"/>
      <c r="AU57" s="288"/>
      <c r="AV57" s="290"/>
    </row>
    <row r="58" spans="2:48" s="296" customFormat="1" outlineLevel="1" x14ac:dyDescent="0.3">
      <c r="B58" s="291" t="s">
        <v>261</v>
      </c>
      <c r="C58" s="249"/>
      <c r="D58" s="292"/>
      <c r="E58" s="292"/>
      <c r="F58" s="293"/>
      <c r="G58" s="293"/>
      <c r="H58" s="294"/>
      <c r="I58" s="292"/>
      <c r="J58" s="292"/>
      <c r="K58" s="293"/>
      <c r="L58" s="293"/>
      <c r="M58" s="294"/>
      <c r="N58" s="292"/>
      <c r="O58" s="292"/>
      <c r="P58" s="293"/>
      <c r="Q58" s="293"/>
      <c r="R58" s="294"/>
      <c r="S58" s="292"/>
      <c r="T58" s="292"/>
      <c r="U58" s="292"/>
      <c r="V58" s="293"/>
      <c r="W58" s="294"/>
      <c r="X58" s="292"/>
      <c r="Y58" s="292"/>
      <c r="Z58" s="293"/>
      <c r="AA58" s="293"/>
      <c r="AB58" s="295"/>
      <c r="AC58" s="292"/>
      <c r="AD58" s="292"/>
      <c r="AE58" s="293"/>
      <c r="AF58" s="293"/>
      <c r="AG58" s="295"/>
      <c r="AH58" s="292"/>
      <c r="AI58" s="292"/>
      <c r="AJ58" s="293"/>
      <c r="AK58" s="293"/>
      <c r="AL58" s="295"/>
      <c r="AM58" s="292"/>
      <c r="AN58" s="292"/>
      <c r="AO58" s="293"/>
      <c r="AP58" s="293"/>
      <c r="AQ58" s="295"/>
      <c r="AR58" s="292"/>
      <c r="AS58" s="292"/>
      <c r="AT58" s="293"/>
      <c r="AU58" s="293"/>
      <c r="AV58" s="295"/>
    </row>
    <row r="59" spans="2:48" s="302" customFormat="1" outlineLevel="1" x14ac:dyDescent="0.3">
      <c r="B59" s="200" t="s">
        <v>262</v>
      </c>
      <c r="C59" s="297"/>
      <c r="D59" s="298"/>
      <c r="E59" s="298"/>
      <c r="F59" s="146"/>
      <c r="G59" s="146"/>
      <c r="H59" s="122"/>
      <c r="I59" s="299"/>
      <c r="J59" s="299"/>
      <c r="K59" s="146"/>
      <c r="L59" s="146"/>
      <c r="M59" s="26"/>
      <c r="N59" s="299"/>
      <c r="O59" s="299"/>
      <c r="P59" s="146"/>
      <c r="Q59" s="146"/>
      <c r="R59" s="26"/>
      <c r="S59" s="299"/>
      <c r="T59" s="299"/>
      <c r="U59" s="299"/>
      <c r="V59" s="300">
        <v>199</v>
      </c>
      <c r="W59" s="26"/>
      <c r="X59" s="301">
        <v>0</v>
      </c>
      <c r="Y59" s="301">
        <v>1000</v>
      </c>
      <c r="Z59" s="300">
        <v>0</v>
      </c>
      <c r="AA59" s="300">
        <v>0</v>
      </c>
      <c r="AB59" s="6"/>
      <c r="AC59" s="301">
        <v>750</v>
      </c>
      <c r="AD59" s="301">
        <f>500+626.3</f>
        <v>1126.3</v>
      </c>
      <c r="AE59" s="300">
        <v>0</v>
      </c>
      <c r="AF59" s="300">
        <v>0</v>
      </c>
      <c r="AG59" s="6"/>
      <c r="AH59" s="301">
        <v>0</v>
      </c>
      <c r="AI59" s="301">
        <v>0</v>
      </c>
      <c r="AJ59" s="300">
        <v>0</v>
      </c>
      <c r="AK59" s="300">
        <v>1250</v>
      </c>
      <c r="AL59" s="6"/>
      <c r="AM59" s="301">
        <v>0</v>
      </c>
      <c r="AN59" s="301">
        <v>0</v>
      </c>
      <c r="AO59" s="300">
        <v>500</v>
      </c>
      <c r="AP59" s="300">
        <v>0</v>
      </c>
      <c r="AQ59" s="6"/>
      <c r="AR59" s="301">
        <v>0</v>
      </c>
      <c r="AS59" s="301">
        <v>500</v>
      </c>
      <c r="AT59" s="300">
        <v>0</v>
      </c>
      <c r="AU59" s="300">
        <v>0</v>
      </c>
      <c r="AV59" s="6"/>
    </row>
    <row r="60" spans="2:48" s="302" customFormat="1" outlineLevel="1" x14ac:dyDescent="0.3">
      <c r="B60" s="200" t="s">
        <v>263</v>
      </c>
      <c r="C60" s="297"/>
      <c r="D60" s="298"/>
      <c r="E60" s="298"/>
      <c r="F60" s="146"/>
      <c r="G60" s="146"/>
      <c r="H60" s="122"/>
      <c r="I60" s="299"/>
      <c r="J60" s="299"/>
      <c r="K60" s="146"/>
      <c r="L60" s="146"/>
      <c r="M60" s="26"/>
      <c r="N60" s="299"/>
      <c r="O60" s="299"/>
      <c r="P60" s="146"/>
      <c r="Q60" s="146"/>
      <c r="R60" s="26"/>
      <c r="S60" s="299"/>
      <c r="T60" s="299"/>
      <c r="U60" s="299"/>
      <c r="V60" s="300">
        <f>Z59</f>
        <v>0</v>
      </c>
      <c r="W60" s="26"/>
      <c r="X60" s="300">
        <f>AA59</f>
        <v>0</v>
      </c>
      <c r="Y60" s="300">
        <f>AC59</f>
        <v>750</v>
      </c>
      <c r="Z60" s="300">
        <f>AD59</f>
        <v>1126.3</v>
      </c>
      <c r="AA60" s="300">
        <f>AE59</f>
        <v>0</v>
      </c>
      <c r="AB60" s="6"/>
      <c r="AC60" s="300">
        <f>AF59</f>
        <v>0</v>
      </c>
      <c r="AD60" s="300">
        <f>AH59</f>
        <v>0</v>
      </c>
      <c r="AE60" s="300">
        <f>AI59</f>
        <v>0</v>
      </c>
      <c r="AF60" s="300">
        <f>AJ59</f>
        <v>0</v>
      </c>
      <c r="AG60" s="6"/>
      <c r="AH60" s="300">
        <f>AK59</f>
        <v>1250</v>
      </c>
      <c r="AI60" s="300">
        <f>AM59</f>
        <v>0</v>
      </c>
      <c r="AJ60" s="300">
        <f>AN59</f>
        <v>0</v>
      </c>
      <c r="AK60" s="300">
        <f>AO59</f>
        <v>500</v>
      </c>
      <c r="AL60" s="6"/>
      <c r="AM60" s="300">
        <f>AP59</f>
        <v>0</v>
      </c>
      <c r="AN60" s="300">
        <f>AR59</f>
        <v>0</v>
      </c>
      <c r="AO60" s="300">
        <f>AS59</f>
        <v>500</v>
      </c>
      <c r="AP60" s="300">
        <f>AT59</f>
        <v>0</v>
      </c>
      <c r="AQ60" s="6"/>
      <c r="AR60" s="300">
        <f>AU60</f>
        <v>0</v>
      </c>
      <c r="AS60" s="300">
        <f t="shared" ref="AS60:AU60" si="57">AW60</f>
        <v>0</v>
      </c>
      <c r="AT60" s="300">
        <f t="shared" si="57"/>
        <v>0</v>
      </c>
      <c r="AU60" s="300">
        <f t="shared" si="57"/>
        <v>0</v>
      </c>
      <c r="AV60" s="6"/>
    </row>
    <row r="61" spans="2:48" s="302" customFormat="1" outlineLevel="1" x14ac:dyDescent="0.3">
      <c r="B61" s="200" t="s">
        <v>264</v>
      </c>
      <c r="C61" s="297"/>
      <c r="D61" s="298"/>
      <c r="E61" s="298"/>
      <c r="F61" s="146"/>
      <c r="G61" s="146"/>
      <c r="H61" s="122"/>
      <c r="I61" s="299"/>
      <c r="J61" s="299"/>
      <c r="K61" s="146"/>
      <c r="L61" s="146"/>
      <c r="M61" s="26"/>
      <c r="N61" s="299"/>
      <c r="O61" s="299"/>
      <c r="P61" s="146"/>
      <c r="Q61" s="146"/>
      <c r="R61" s="26"/>
      <c r="S61" s="299"/>
      <c r="T61" s="299"/>
      <c r="U61" s="299"/>
      <c r="V61" s="300">
        <v>0</v>
      </c>
      <c r="W61" s="26"/>
      <c r="X61" s="301">
        <v>0</v>
      </c>
      <c r="Y61" s="301">
        <v>1000</v>
      </c>
      <c r="Z61" s="300">
        <v>0</v>
      </c>
      <c r="AA61" s="300">
        <v>0</v>
      </c>
      <c r="AB61" s="6"/>
      <c r="AC61" s="301">
        <v>750</v>
      </c>
      <c r="AD61" s="301">
        <v>1126</v>
      </c>
      <c r="AE61" s="300">
        <v>0</v>
      </c>
      <c r="AF61" s="300">
        <f>0.5*(SUM('IS (Bull-Case)'!AC154:AF154))</f>
        <v>100</v>
      </c>
      <c r="AG61" s="6"/>
      <c r="AH61" s="301"/>
      <c r="AI61" s="301"/>
      <c r="AJ61" s="300">
        <f>0.5*(SUM('IS (Bull-Case)'!AH154:AK154))</f>
        <v>3824.6339371389654</v>
      </c>
      <c r="AK61" s="300">
        <v>1250</v>
      </c>
      <c r="AL61" s="6"/>
      <c r="AM61" s="301">
        <v>0</v>
      </c>
      <c r="AN61" s="301">
        <v>0</v>
      </c>
      <c r="AO61" s="300">
        <v>500</v>
      </c>
      <c r="AP61" s="300">
        <v>0</v>
      </c>
      <c r="AQ61" s="6"/>
      <c r="AR61" s="301">
        <v>0</v>
      </c>
      <c r="AS61" s="301">
        <v>500</v>
      </c>
      <c r="AT61" s="300">
        <v>0</v>
      </c>
      <c r="AU61" s="300">
        <v>0</v>
      </c>
      <c r="AV61" s="6"/>
    </row>
    <row r="62" spans="2:48" s="23" customFormat="1" outlineLevel="1" x14ac:dyDescent="0.3">
      <c r="B62" s="200" t="s">
        <v>265</v>
      </c>
      <c r="C62" s="201"/>
      <c r="D62" s="179">
        <f>+(D28+D31)/D41</f>
        <v>-3.1717034875642636</v>
      </c>
      <c r="E62" s="179">
        <f>+(E28+E31)/E41</f>
        <v>-1.8304138862408643</v>
      </c>
      <c r="F62" s="303">
        <f>+(F28+F31)/F41</f>
        <v>-2.5837230840472332</v>
      </c>
      <c r="G62" s="303">
        <f>+(G28+G31)/G41</f>
        <v>-1.7921681913015568</v>
      </c>
      <c r="H62" s="128"/>
      <c r="I62" s="303">
        <f>+(I28+I31)/I41</f>
        <v>-1.7235726649997785</v>
      </c>
      <c r="J62" s="303">
        <f>+(J28+J31)/J41</f>
        <v>-1.8605318005017988</v>
      </c>
      <c r="K62" s="303">
        <f>+(K28+K31)/K41</f>
        <v>-1.9516598448569742</v>
      </c>
      <c r="L62" s="179">
        <f>+(L28+L31)/L41</f>
        <v>-2.0960971356771032</v>
      </c>
      <c r="M62" s="28"/>
      <c r="N62" s="179">
        <f>+(N28+N31)/N41</f>
        <v>-2.0136766194331983</v>
      </c>
      <c r="O62" s="179">
        <f>+(O28+O31)/O41</f>
        <v>-1.9152752899337104</v>
      </c>
      <c r="P62" s="179">
        <f>+(P28+P31)/P41</f>
        <v>-2.1515240716482933</v>
      </c>
      <c r="Q62" s="179">
        <f>+(Q28+Q31)/Q41</f>
        <v>-2.7501740521215541</v>
      </c>
      <c r="R62" s="28"/>
      <c r="S62" s="179">
        <f t="shared" ref="S62:AA62" si="58">+(S28+S31)/S41</f>
        <v>-1.7497130279398361</v>
      </c>
      <c r="T62" s="179">
        <f t="shared" si="58"/>
        <v>-1.8277176642469066</v>
      </c>
      <c r="U62" s="179">
        <f t="shared" si="58"/>
        <v>-1.7473235630391852</v>
      </c>
      <c r="V62" s="179">
        <f t="shared" si="58"/>
        <v>-1.7742139209382464</v>
      </c>
      <c r="W62" s="28">
        <f t="shared" si="58"/>
        <v>-1.7742139209382464</v>
      </c>
      <c r="X62" s="179">
        <f t="shared" si="58"/>
        <v>-1.8400886613074945</v>
      </c>
      <c r="Y62" s="179">
        <f t="shared" si="58"/>
        <v>-1.9032311358207501</v>
      </c>
      <c r="Z62" s="179">
        <f t="shared" si="58"/>
        <v>-2.0349909461981031</v>
      </c>
      <c r="AA62" s="179">
        <f t="shared" si="58"/>
        <v>-2.1995236001279372</v>
      </c>
      <c r="AB62" s="28"/>
      <c r="AC62" s="179">
        <f>+(AC28+AC31)/AC41</f>
        <v>-2.4285402870864128</v>
      </c>
      <c r="AD62" s="179">
        <f>+(AD28+AD31)/AD41</f>
        <v>-2.612079793279368</v>
      </c>
      <c r="AE62" s="179">
        <f>+(AE28+AE31)/AE41</f>
        <v>-2.9041356316238667</v>
      </c>
      <c r="AF62" s="179">
        <f>+(AF28+AF31)/AF41</f>
        <v>-3.2583419731192942</v>
      </c>
      <c r="AG62" s="28"/>
      <c r="AH62" s="179">
        <f>+(AH28+AH31)/AH41</f>
        <v>-3.8896454687622692</v>
      </c>
      <c r="AI62" s="179">
        <f>+(AI28+AI31)/AI41</f>
        <v>-4.4901288297219306</v>
      </c>
      <c r="AJ62" s="179">
        <f>+(AJ28+AJ31)/AJ41</f>
        <v>-3.0803760123021573</v>
      </c>
      <c r="AK62" s="179">
        <f>+(AK28+AK31)/AK41</f>
        <v>-2.0843335369310867</v>
      </c>
      <c r="AL62" s="28"/>
      <c r="AM62" s="179">
        <f>+(AM28+AM31)/AM41</f>
        <v>-2.2519544059890002</v>
      </c>
      <c r="AN62" s="179">
        <f>+(AN28+AN31)/AN41</f>
        <v>-2.3679946906365448</v>
      </c>
      <c r="AO62" s="179">
        <f>+(AO28+AO31)/AO41</f>
        <v>-2.6239329824354538</v>
      </c>
      <c r="AP62" s="179">
        <f>+(AP28+AP31)/AP41</f>
        <v>-2.9002874742153675</v>
      </c>
      <c r="AQ62" s="28"/>
      <c r="AR62" s="179">
        <f>+(AR28+AR31)/AR41</f>
        <v>-3.3028604499437564</v>
      </c>
      <c r="AS62" s="179">
        <f>+(AS28+AS31)/AS41</f>
        <v>-3.6293665584012009</v>
      </c>
      <c r="AT62" s="179">
        <f>+(AT28+AT31)/AT41</f>
        <v>-4.3735655195810654</v>
      </c>
      <c r="AU62" s="179">
        <f>+(AU28+AU31)/AU41</f>
        <v>-5.3577620487911561</v>
      </c>
      <c r="AV62" s="28"/>
    </row>
    <row r="63" spans="2:48" s="23" customFormat="1" outlineLevel="1" x14ac:dyDescent="0.3">
      <c r="B63" s="200" t="s">
        <v>266</v>
      </c>
      <c r="C63" s="201"/>
      <c r="D63" s="179">
        <f>+D28/(D28+D31)</f>
        <v>0</v>
      </c>
      <c r="E63" s="179">
        <f>+E28/(E28+E31)</f>
        <v>8.1375793413985785E-3</v>
      </c>
      <c r="F63" s="303">
        <f>+F28/(F28+F31)</f>
        <v>0</v>
      </c>
      <c r="G63" s="303">
        <f>+G28/(G28+G31)</f>
        <v>0</v>
      </c>
      <c r="H63" s="128"/>
      <c r="I63" s="303">
        <f>+I28/(I28+I31)</f>
        <v>8.5546532987690757E-2</v>
      </c>
      <c r="J63" s="303">
        <f>+J28/(J28+J31)</f>
        <v>0.16813887778982817</v>
      </c>
      <c r="K63" s="303">
        <f>+K28/(K28+K31)</f>
        <v>0.12987992894360045</v>
      </c>
      <c r="L63" s="179">
        <f>+L28/(L28+L31)</f>
        <v>0.10329514383758555</v>
      </c>
      <c r="M63" s="28"/>
      <c r="N63" s="179">
        <f>+N28/(N28+N31)</f>
        <v>7.8071889470410452E-2</v>
      </c>
      <c r="O63" s="179">
        <f>+O28/(O28+O31)</f>
        <v>1.2492661414742708E-3</v>
      </c>
      <c r="P63" s="179">
        <f>+P28/(P28+P31)</f>
        <v>6.8333093904132544E-2</v>
      </c>
      <c r="Q63" s="179">
        <f>+Q28/(Q28+Q31)</f>
        <v>6.8343847069609609E-2</v>
      </c>
      <c r="R63" s="28"/>
      <c r="S63" s="179">
        <f t="shared" ref="S63:AA63" si="59">+S28/(S28+S31)</f>
        <v>8.1112704252786494E-2</v>
      </c>
      <c r="T63" s="179">
        <f t="shared" si="59"/>
        <v>0.12481109098857178</v>
      </c>
      <c r="U63" s="179">
        <f t="shared" si="59"/>
        <v>7.9253663276029576E-2</v>
      </c>
      <c r="V63" s="179">
        <f t="shared" si="59"/>
        <v>6.6981896603687655E-2</v>
      </c>
      <c r="W63" s="28">
        <f t="shared" si="59"/>
        <v>6.6981896603687655E-2</v>
      </c>
      <c r="X63" s="179">
        <f t="shared" si="59"/>
        <v>6.6981896603687655E-2</v>
      </c>
      <c r="Y63" s="179">
        <f t="shared" si="59"/>
        <v>5.0238096832742829E-2</v>
      </c>
      <c r="Z63" s="179">
        <f t="shared" si="59"/>
        <v>0.12567226356080344</v>
      </c>
      <c r="AA63" s="179">
        <f t="shared" si="59"/>
        <v>0.12567226356080344</v>
      </c>
      <c r="AB63" s="28"/>
      <c r="AC63" s="179">
        <f>+AC28/(AC28+AC31)</f>
        <v>7.5440864247968975E-2</v>
      </c>
      <c r="AD63" s="179">
        <f>+AD28/(AD28+AD31)</f>
        <v>6.6976544813945215E-6</v>
      </c>
      <c r="AE63" s="179">
        <f>+AE28/(AE28+AE31)</f>
        <v>6.6976544813945215E-6</v>
      </c>
      <c r="AF63" s="179">
        <f>+AF28/(AF28+AF31)</f>
        <v>6.6530943541780797E-6</v>
      </c>
      <c r="AG63" s="28"/>
      <c r="AH63" s="179">
        <f>+AH28/(AH28+AH31)</f>
        <v>8.3170332521655815E-2</v>
      </c>
      <c r="AI63" s="179">
        <f>+AI28/(AI28+AI31)</f>
        <v>8.3170332521655815E-2</v>
      </c>
      <c r="AJ63" s="179">
        <f>+AJ28/(AJ28+AJ31)</f>
        <v>6.6299893396585791E-2</v>
      </c>
      <c r="AK63" s="179">
        <f>+AK28/(AK28+AK31)</f>
        <v>2.6523139498946125E-2</v>
      </c>
      <c r="AL63" s="28"/>
      <c r="AM63" s="179">
        <f>+AM28/(AM28+AM31)</f>
        <v>2.6523139498946125E-2</v>
      </c>
      <c r="AN63" s="179">
        <f>+AN28/(AN28+AN31)</f>
        <v>2.6523139498946125E-2</v>
      </c>
      <c r="AO63" s="179">
        <f>+AO28/(AO28+AO31)</f>
        <v>2.6523139498946125E-2</v>
      </c>
      <c r="AP63" s="179">
        <f>+AP28/(AP28+AP31)</f>
        <v>2.6523139498946125E-2</v>
      </c>
      <c r="AQ63" s="28"/>
      <c r="AR63" s="179">
        <f>+AR28/(AR28+AR31)</f>
        <v>2.6523139498946125E-2</v>
      </c>
      <c r="AS63" s="179">
        <f>+AS28/(AS28+AS31)</f>
        <v>5.3035671863471316E-6</v>
      </c>
      <c r="AT63" s="179">
        <f>+AT28/(AT28+AT31)</f>
        <v>5.3035671863471316E-6</v>
      </c>
      <c r="AU63" s="179">
        <f>+AU28/(AU28+AU31)</f>
        <v>5.3035671863471316E-6</v>
      </c>
      <c r="AV63" s="28"/>
    </row>
    <row r="64" spans="2:48" outlineLevel="1" x14ac:dyDescent="0.3">
      <c r="B64" s="200" t="s">
        <v>329</v>
      </c>
      <c r="C64" s="201"/>
      <c r="D64" s="304"/>
      <c r="E64" s="304"/>
      <c r="F64" s="304"/>
      <c r="G64" s="304"/>
      <c r="H64" s="306"/>
      <c r="I64" s="305"/>
      <c r="J64" s="305"/>
      <c r="K64" s="305"/>
      <c r="L64" s="305"/>
      <c r="M64" s="306">
        <f>M67/(M65-M66)</f>
        <v>14.55407378391847</v>
      </c>
      <c r="N64" s="305"/>
      <c r="O64" s="305"/>
      <c r="P64" s="305"/>
      <c r="Q64" s="305"/>
      <c r="R64" s="306">
        <f>R67/(R65-R66)</f>
        <v>3.5268936560411204</v>
      </c>
      <c r="S64" s="305"/>
      <c r="T64" s="305"/>
      <c r="U64" s="305"/>
      <c r="V64" s="305"/>
      <c r="W64" s="306">
        <f>W67/(W65-W66)</f>
        <v>4.1761593231356127</v>
      </c>
      <c r="X64" s="307"/>
      <c r="Y64" s="307"/>
      <c r="Z64" s="307"/>
      <c r="AA64" s="307"/>
      <c r="AB64" s="306">
        <f>AB67/(AB65-AB66)</f>
        <v>3.4189348799398296</v>
      </c>
      <c r="AC64" s="307"/>
      <c r="AD64" s="307"/>
      <c r="AE64" s="307"/>
      <c r="AF64" s="307"/>
      <c r="AG64" s="405">
        <f>AG67/(AG65-AG66)</f>
        <v>2.790911776894494</v>
      </c>
      <c r="AH64" s="307"/>
      <c r="AI64" s="307"/>
      <c r="AJ64" s="307"/>
      <c r="AK64" s="307"/>
      <c r="AL64" s="405">
        <f>AL67/(AL65-AL66)</f>
        <v>2.8096091057268029</v>
      </c>
      <c r="AM64" s="307"/>
      <c r="AN64" s="307"/>
      <c r="AO64" s="307"/>
      <c r="AP64" s="307"/>
      <c r="AQ64" s="306">
        <f>AQ67/(AQ65-AQ66)</f>
        <v>2.5083221347951428</v>
      </c>
      <c r="AR64" s="307"/>
      <c r="AS64" s="307"/>
      <c r="AT64" s="307"/>
      <c r="AU64" s="307"/>
      <c r="AV64" s="306">
        <f>AV67/(AV65-AV66)</f>
        <v>2.3425460441926855</v>
      </c>
    </row>
    <row r="65" spans="2:48" outlineLevel="1" x14ac:dyDescent="0.3">
      <c r="B65" s="180" t="s">
        <v>326</v>
      </c>
      <c r="C65" s="44"/>
      <c r="D65" s="139"/>
      <c r="E65" s="139"/>
      <c r="F65" s="309"/>
      <c r="G65" s="309"/>
      <c r="H65" s="17"/>
      <c r="I65" s="139"/>
      <c r="J65" s="139"/>
      <c r="K65" s="309"/>
      <c r="L65" s="309"/>
      <c r="M65" s="17">
        <f>'IS (Bull-Case)'!M19+'IS (Bull-Case)'!M12</f>
        <v>3564.3800000000042</v>
      </c>
      <c r="N65" s="139"/>
      <c r="O65" s="139"/>
      <c r="P65" s="309"/>
      <c r="Q65" s="309"/>
      <c r="R65" s="17">
        <f>'IS (Bull-Case)'!R19+'IS (Bull-Case)'!R12</f>
        <v>6703.7999999999975</v>
      </c>
      <c r="S65" s="139"/>
      <c r="T65" s="139"/>
      <c r="U65" s="309"/>
      <c r="V65" s="309"/>
      <c r="W65" s="17">
        <f>'IS (Bull-Case)'!W19+'IS (Bull-Case)'!W12</f>
        <v>6262.9556840670375</v>
      </c>
      <c r="X65" s="139"/>
      <c r="Y65" s="305"/>
      <c r="Z65" s="305"/>
      <c r="AA65" s="310"/>
      <c r="AB65" s="17">
        <f>'IS (Bull-Case)'!AB19+'IS (Bull-Case)'!AB12</f>
        <v>7189.1895738193216</v>
      </c>
      <c r="AC65" s="139"/>
      <c r="AD65" s="139"/>
      <c r="AE65" s="309"/>
      <c r="AF65" s="309"/>
      <c r="AG65" s="17">
        <f>'IS (Bull-Case)'!AG19+'IS (Bull-Case)'!AG12</f>
        <v>8348.7245326742886</v>
      </c>
      <c r="AH65" s="139"/>
      <c r="AI65" s="139"/>
      <c r="AJ65" s="309"/>
      <c r="AK65" s="309"/>
      <c r="AL65" s="17">
        <f>'IS (Bull-Case)'!AL19+'IS (Bull-Case)'!AL12</f>
        <v>9822.3125656568263</v>
      </c>
      <c r="AM65" s="139"/>
      <c r="AN65" s="139"/>
      <c r="AO65" s="309"/>
      <c r="AP65" s="309"/>
      <c r="AQ65" s="17">
        <f>'IS (Bull-Case)'!AQ19+'IS (Bull-Case)'!AQ12</f>
        <v>10783.968261313967</v>
      </c>
      <c r="AR65" s="139"/>
      <c r="AS65" s="139"/>
      <c r="AT65" s="309"/>
      <c r="AU65" s="309"/>
      <c r="AV65" s="17">
        <f>'IS (Bull-Case)'!AV19+'IS (Bull-Case)'!AV12</f>
        <v>11479.277315403149</v>
      </c>
    </row>
    <row r="66" spans="2:48" outlineLevel="1" x14ac:dyDescent="0.3">
      <c r="B66" s="180" t="s">
        <v>328</v>
      </c>
      <c r="C66" s="44"/>
      <c r="D66" s="139"/>
      <c r="E66" s="139"/>
      <c r="F66" s="309"/>
      <c r="G66" s="309"/>
      <c r="H66" s="387"/>
      <c r="I66" s="139"/>
      <c r="J66" s="139"/>
      <c r="K66" s="309"/>
      <c r="L66" s="309"/>
      <c r="M66" s="387">
        <v>2441.1</v>
      </c>
      <c r="N66" s="139"/>
      <c r="O66" s="139"/>
      <c r="P66" s="309"/>
      <c r="Q66" s="309"/>
      <c r="R66" s="387">
        <v>2559.6999999999998</v>
      </c>
      <c r="S66" s="139"/>
      <c r="T66" s="139"/>
      <c r="U66" s="309"/>
      <c r="V66" s="309"/>
      <c r="W66" s="388">
        <f>R66*1.05</f>
        <v>2687.6849999999999</v>
      </c>
      <c r="X66" s="139"/>
      <c r="Y66" s="179"/>
      <c r="Z66" s="179"/>
      <c r="AA66" s="310"/>
      <c r="AB66" s="388">
        <f>W66*1.05</f>
        <v>2822.06925</v>
      </c>
      <c r="AC66" s="139"/>
      <c r="AD66" s="139"/>
      <c r="AE66" s="309"/>
      <c r="AF66" s="309"/>
      <c r="AG66" s="388">
        <f>AB66*1.05</f>
        <v>2963.1727125000002</v>
      </c>
      <c r="AH66" s="139"/>
      <c r="AI66" s="139"/>
      <c r="AJ66" s="309"/>
      <c r="AK66" s="309"/>
      <c r="AL66" s="388">
        <f>AG66*1.05</f>
        <v>3111.3313481250002</v>
      </c>
      <c r="AM66" s="139"/>
      <c r="AN66" s="139"/>
      <c r="AO66" s="309"/>
      <c r="AP66" s="309"/>
      <c r="AQ66" s="388">
        <f>AL66*1.05</f>
        <v>3266.8979155312504</v>
      </c>
      <c r="AR66" s="139"/>
      <c r="AS66" s="139"/>
      <c r="AT66" s="309"/>
      <c r="AU66" s="309"/>
      <c r="AV66" s="388">
        <f>AQ66*1.05</f>
        <v>3430.2428113078131</v>
      </c>
    </row>
    <row r="67" spans="2:48" outlineLevel="1" x14ac:dyDescent="0.3">
      <c r="B67" s="386" t="s">
        <v>327</v>
      </c>
      <c r="C67" s="312"/>
      <c r="D67" s="313"/>
      <c r="E67" s="313"/>
      <c r="F67" s="314"/>
      <c r="G67" s="314"/>
      <c r="H67" s="316"/>
      <c r="I67" s="313"/>
      <c r="J67" s="313"/>
      <c r="K67" s="314"/>
      <c r="L67" s="314"/>
      <c r="M67" s="316">
        <f>M28+M31</f>
        <v>16348.300000000001</v>
      </c>
      <c r="N67" s="313"/>
      <c r="O67" s="313"/>
      <c r="P67" s="314"/>
      <c r="Q67" s="314"/>
      <c r="R67" s="316">
        <f>R28+R31</f>
        <v>14615.8</v>
      </c>
      <c r="S67" s="313"/>
      <c r="T67" s="313"/>
      <c r="U67" s="314"/>
      <c r="V67" s="314"/>
      <c r="W67" s="316">
        <f>W28+W31</f>
        <v>14930.9</v>
      </c>
      <c r="X67" s="313"/>
      <c r="Y67" s="313"/>
      <c r="Z67" s="314"/>
      <c r="AA67" s="315"/>
      <c r="AB67" s="316">
        <f>AB28+AB31</f>
        <v>14930.9</v>
      </c>
      <c r="AC67" s="313"/>
      <c r="AD67" s="313"/>
      <c r="AE67" s="314"/>
      <c r="AF67" s="314"/>
      <c r="AG67" s="316">
        <f>AG28+AG31</f>
        <v>15030.6</v>
      </c>
      <c r="AH67" s="313"/>
      <c r="AI67" s="313"/>
      <c r="AJ67" s="314"/>
      <c r="AK67" s="314"/>
      <c r="AL67" s="316">
        <f>AL28+AL31</f>
        <v>18855.233937138964</v>
      </c>
      <c r="AM67" s="313"/>
      <c r="AN67" s="313"/>
      <c r="AO67" s="314"/>
      <c r="AP67" s="314"/>
      <c r="AQ67" s="316">
        <f>AQ28+AQ31</f>
        <v>18855.233937138964</v>
      </c>
      <c r="AR67" s="313"/>
      <c r="AS67" s="313"/>
      <c r="AT67" s="314"/>
      <c r="AU67" s="314"/>
      <c r="AV67" s="316">
        <f>AV28+AV31</f>
        <v>18855.233937138964</v>
      </c>
    </row>
  </sheetData>
  <dataConsolidate/>
  <mergeCells count="27">
    <mergeCell ref="B51:C51"/>
    <mergeCell ref="B52:C52"/>
    <mergeCell ref="B53:C53"/>
    <mergeCell ref="B44:C44"/>
    <mergeCell ref="B45:C45"/>
    <mergeCell ref="B47:C47"/>
    <mergeCell ref="B48:C48"/>
    <mergeCell ref="B49:C49"/>
    <mergeCell ref="B50:C50"/>
    <mergeCell ref="B42:C42"/>
    <mergeCell ref="B20:C20"/>
    <mergeCell ref="B21:C21"/>
    <mergeCell ref="B22:C22"/>
    <mergeCell ref="B23:C23"/>
    <mergeCell ref="B34:C34"/>
    <mergeCell ref="B35:C35"/>
    <mergeCell ref="B36:C36"/>
    <mergeCell ref="B37:C37"/>
    <mergeCell ref="B38:C38"/>
    <mergeCell ref="B39:C39"/>
    <mergeCell ref="B41:C41"/>
    <mergeCell ref="B19:C19"/>
    <mergeCell ref="B3:C3"/>
    <mergeCell ref="B5:C5"/>
    <mergeCell ref="B6:C6"/>
    <mergeCell ref="B8:C8"/>
    <mergeCell ref="B10:C10"/>
  </mergeCells>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68C44-5DF5-40D2-ACFB-8AC088320FC7}">
  <sheetPr>
    <tabColor theme="6" tint="0.79998168889431442"/>
    <pageSetUpPr fitToPage="1"/>
  </sheetPr>
  <dimension ref="B1:AV65"/>
  <sheetViews>
    <sheetView showGridLines="0" zoomScaleNormal="100" workbookViewId="0">
      <pane xSplit="3" ySplit="4" topLeftCell="AE48" activePane="bottomRight" state="frozen"/>
      <selection activeCell="B24" sqref="B24:C24"/>
      <selection pane="topRight" activeCell="B24" sqref="B24:C24"/>
      <selection pane="bottomLeft" activeCell="B24" sqref="B24:C24"/>
      <selection pane="bottomRight" activeCell="AL59" sqref="AL59"/>
    </sheetView>
  </sheetViews>
  <sheetFormatPr defaultColWidth="8.88671875" defaultRowHeight="14.4" outlineLevelRow="1" outlineLevelCol="1" x14ac:dyDescent="0.3"/>
  <cols>
    <col min="1" max="1" width="2" style="2" customWidth="1"/>
    <col min="2" max="2" width="39" style="2" customWidth="1"/>
    <col min="3" max="3" width="11.77734375" style="2" customWidth="1"/>
    <col min="4" max="5" width="11.5546875" style="1" customWidth="1" outlineLevel="1"/>
    <col min="6" max="7" width="11.5546875" style="3" customWidth="1" outlineLevel="1"/>
    <col min="8" max="8" width="11.5546875" style="3" customWidth="1"/>
    <col min="9" max="10" width="11.5546875" style="1" customWidth="1" outlineLevel="1"/>
    <col min="11" max="12" width="11.5546875" style="3" customWidth="1" outlineLevel="1"/>
    <col min="13" max="13" width="11.5546875" style="3" customWidth="1"/>
    <col min="14" max="15" width="11.5546875" style="1" customWidth="1" outlineLevel="1"/>
    <col min="16" max="17" width="11.5546875" style="3" customWidth="1" outlineLevel="1"/>
    <col min="18" max="18" width="11.5546875" style="3" customWidth="1"/>
    <col min="19" max="20" width="11.5546875" style="1" customWidth="1" outlineLevel="1"/>
    <col min="21" max="22" width="11.5546875" style="3" customWidth="1" outlineLevel="1"/>
    <col min="23" max="23" width="11.5546875" style="3" customWidth="1"/>
    <col min="24" max="25" width="11.5546875" style="1" customWidth="1" outlineLevel="1"/>
    <col min="26" max="27" width="11.5546875" style="3" customWidth="1" outlineLevel="1"/>
    <col min="28" max="28" width="11.5546875" style="3" customWidth="1"/>
    <col min="29" max="30" width="11.5546875" style="1" customWidth="1" outlineLevel="1"/>
    <col min="31" max="32" width="11.5546875" style="3" customWidth="1" outlineLevel="1"/>
    <col min="33" max="33" width="11.5546875" style="3" customWidth="1"/>
    <col min="34" max="35" width="11.5546875" style="1" customWidth="1" outlineLevel="1"/>
    <col min="36" max="37" width="11.5546875" style="3" customWidth="1" outlineLevel="1"/>
    <col min="38" max="38" width="11.5546875" style="3" customWidth="1"/>
    <col min="39" max="40" width="11.5546875" style="1" customWidth="1" outlineLevel="1"/>
    <col min="41" max="42" width="11.5546875" style="3" customWidth="1" outlineLevel="1"/>
    <col min="43" max="43" width="11.5546875" style="3" customWidth="1"/>
    <col min="44" max="45" width="11.5546875" style="1" customWidth="1" outlineLevel="1"/>
    <col min="46" max="47" width="11.5546875" style="3" customWidth="1" outlineLevel="1"/>
    <col min="48" max="48" width="11.5546875" style="3" customWidth="1"/>
    <col min="49" max="16384" width="8.88671875" style="2"/>
  </cols>
  <sheetData>
    <row r="1" spans="2:48" ht="16.2" customHeight="1" x14ac:dyDescent="0.3">
      <c r="B1" s="237" t="s">
        <v>210</v>
      </c>
      <c r="D1" s="45"/>
      <c r="E1" s="149"/>
      <c r="F1" s="149"/>
      <c r="G1" s="149"/>
      <c r="H1" s="149"/>
      <c r="I1" s="216"/>
      <c r="J1" s="380"/>
      <c r="K1" s="380"/>
      <c r="L1" s="380"/>
      <c r="M1" s="380"/>
      <c r="N1" s="380"/>
      <c r="O1" s="380"/>
      <c r="P1" s="380"/>
      <c r="Q1" s="380"/>
      <c r="R1" s="380"/>
      <c r="S1" s="380"/>
      <c r="T1" s="380"/>
      <c r="U1" s="380"/>
      <c r="V1" s="216"/>
      <c r="W1" s="195"/>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row>
    <row r="2" spans="2:48" ht="6.9" customHeight="1" x14ac:dyDescent="0.3">
      <c r="B2" s="99"/>
      <c r="D2" s="45"/>
      <c r="E2" s="149"/>
      <c r="F2" s="149"/>
      <c r="G2" s="149"/>
      <c r="H2" s="149"/>
      <c r="I2" s="216"/>
      <c r="J2" s="381"/>
      <c r="K2" s="381"/>
      <c r="L2" s="381"/>
      <c r="M2" s="381"/>
      <c r="N2" s="381"/>
      <c r="O2" s="381"/>
      <c r="P2" s="381"/>
      <c r="Q2" s="381"/>
      <c r="R2" s="381"/>
      <c r="S2" s="381"/>
      <c r="T2" s="381"/>
      <c r="U2" s="381"/>
      <c r="V2" s="216"/>
      <c r="W2" s="195"/>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row>
    <row r="3" spans="2:48" ht="15.6" x14ac:dyDescent="0.3">
      <c r="B3" s="433" t="s">
        <v>267</v>
      </c>
      <c r="C3" s="434"/>
      <c r="D3" s="13" t="s">
        <v>15</v>
      </c>
      <c r="E3" s="13" t="s">
        <v>82</v>
      </c>
      <c r="F3" s="13" t="s">
        <v>84</v>
      </c>
      <c r="G3" s="13" t="s">
        <v>147</v>
      </c>
      <c r="H3" s="39" t="s">
        <v>147</v>
      </c>
      <c r="I3" s="13" t="s">
        <v>146</v>
      </c>
      <c r="J3" s="13" t="s">
        <v>145</v>
      </c>
      <c r="K3" s="13" t="s">
        <v>144</v>
      </c>
      <c r="L3" s="13" t="s">
        <v>141</v>
      </c>
      <c r="M3" s="39" t="s">
        <v>141</v>
      </c>
      <c r="N3" s="13" t="s">
        <v>148</v>
      </c>
      <c r="O3" s="13" t="s">
        <v>156</v>
      </c>
      <c r="P3" s="13" t="s">
        <v>158</v>
      </c>
      <c r="Q3" s="13" t="s">
        <v>171</v>
      </c>
      <c r="R3" s="39" t="s">
        <v>171</v>
      </c>
      <c r="S3" s="13" t="s">
        <v>187</v>
      </c>
      <c r="T3" s="13" t="s">
        <v>190</v>
      </c>
      <c r="U3" s="13" t="s">
        <v>203</v>
      </c>
      <c r="V3" s="15" t="s">
        <v>20</v>
      </c>
      <c r="W3" s="41" t="s">
        <v>20</v>
      </c>
      <c r="X3" s="15" t="s">
        <v>21</v>
      </c>
      <c r="Y3" s="15" t="s">
        <v>22</v>
      </c>
      <c r="Z3" s="15" t="s">
        <v>23</v>
      </c>
      <c r="AA3" s="15" t="s">
        <v>24</v>
      </c>
      <c r="AB3" s="41" t="s">
        <v>24</v>
      </c>
      <c r="AC3" s="15" t="s">
        <v>86</v>
      </c>
      <c r="AD3" s="15" t="s">
        <v>87</v>
      </c>
      <c r="AE3" s="15" t="s">
        <v>88</v>
      </c>
      <c r="AF3" s="15" t="s">
        <v>89</v>
      </c>
      <c r="AG3" s="41" t="s">
        <v>89</v>
      </c>
      <c r="AH3" s="15" t="s">
        <v>105</v>
      </c>
      <c r="AI3" s="15" t="s">
        <v>106</v>
      </c>
      <c r="AJ3" s="15" t="s">
        <v>107</v>
      </c>
      <c r="AK3" s="15" t="s">
        <v>108</v>
      </c>
      <c r="AL3" s="41" t="s">
        <v>108</v>
      </c>
      <c r="AM3" s="15" t="s">
        <v>160</v>
      </c>
      <c r="AN3" s="15" t="s">
        <v>161</v>
      </c>
      <c r="AO3" s="15" t="s">
        <v>162</v>
      </c>
      <c r="AP3" s="15" t="s">
        <v>163</v>
      </c>
      <c r="AQ3" s="41" t="s">
        <v>163</v>
      </c>
      <c r="AR3" s="15" t="s">
        <v>191</v>
      </c>
      <c r="AS3" s="15" t="s">
        <v>192</v>
      </c>
      <c r="AT3" s="15" t="s">
        <v>193</v>
      </c>
      <c r="AU3" s="15" t="s">
        <v>194</v>
      </c>
      <c r="AV3" s="41" t="s">
        <v>194</v>
      </c>
    </row>
    <row r="4" spans="2:48" ht="16.2" x14ac:dyDescent="0.45">
      <c r="B4" s="251" t="s">
        <v>3</v>
      </c>
      <c r="C4" s="252"/>
      <c r="D4" s="14" t="s">
        <v>19</v>
      </c>
      <c r="E4" s="14" t="s">
        <v>81</v>
      </c>
      <c r="F4" s="14" t="s">
        <v>85</v>
      </c>
      <c r="G4" s="14" t="s">
        <v>95</v>
      </c>
      <c r="H4" s="40" t="s">
        <v>96</v>
      </c>
      <c r="I4" s="14" t="s">
        <v>97</v>
      </c>
      <c r="J4" s="14" t="s">
        <v>98</v>
      </c>
      <c r="K4" s="14" t="s">
        <v>99</v>
      </c>
      <c r="L4" s="14" t="s">
        <v>142</v>
      </c>
      <c r="M4" s="40" t="s">
        <v>143</v>
      </c>
      <c r="N4" s="14" t="s">
        <v>149</v>
      </c>
      <c r="O4" s="14" t="s">
        <v>157</v>
      </c>
      <c r="P4" s="14" t="s">
        <v>159</v>
      </c>
      <c r="Q4" s="14" t="s">
        <v>172</v>
      </c>
      <c r="R4" s="40" t="s">
        <v>173</v>
      </c>
      <c r="S4" s="14" t="s">
        <v>188</v>
      </c>
      <c r="T4" s="14" t="s">
        <v>189</v>
      </c>
      <c r="U4" s="14" t="s">
        <v>204</v>
      </c>
      <c r="V4" s="12" t="s">
        <v>25</v>
      </c>
      <c r="W4" s="42" t="s">
        <v>26</v>
      </c>
      <c r="X4" s="12" t="s">
        <v>27</v>
      </c>
      <c r="Y4" s="12" t="s">
        <v>28</v>
      </c>
      <c r="Z4" s="12" t="s">
        <v>29</v>
      </c>
      <c r="AA4" s="12" t="s">
        <v>30</v>
      </c>
      <c r="AB4" s="42" t="s">
        <v>31</v>
      </c>
      <c r="AC4" s="12" t="s">
        <v>90</v>
      </c>
      <c r="AD4" s="12" t="s">
        <v>91</v>
      </c>
      <c r="AE4" s="12" t="s">
        <v>92</v>
      </c>
      <c r="AF4" s="12" t="s">
        <v>93</v>
      </c>
      <c r="AG4" s="42" t="s">
        <v>94</v>
      </c>
      <c r="AH4" s="12" t="s">
        <v>109</v>
      </c>
      <c r="AI4" s="12" t="s">
        <v>110</v>
      </c>
      <c r="AJ4" s="12" t="s">
        <v>111</v>
      </c>
      <c r="AK4" s="12" t="s">
        <v>112</v>
      </c>
      <c r="AL4" s="42" t="s">
        <v>113</v>
      </c>
      <c r="AM4" s="12" t="s">
        <v>164</v>
      </c>
      <c r="AN4" s="12" t="s">
        <v>165</v>
      </c>
      <c r="AO4" s="12" t="s">
        <v>166</v>
      </c>
      <c r="AP4" s="12" t="s">
        <v>167</v>
      </c>
      <c r="AQ4" s="42" t="s">
        <v>168</v>
      </c>
      <c r="AR4" s="12" t="s">
        <v>195</v>
      </c>
      <c r="AS4" s="12" t="s">
        <v>196</v>
      </c>
      <c r="AT4" s="12" t="s">
        <v>197</v>
      </c>
      <c r="AU4" s="12" t="s">
        <v>198</v>
      </c>
      <c r="AV4" s="42" t="s">
        <v>199</v>
      </c>
    </row>
    <row r="5" spans="2:48" outlineLevel="1" x14ac:dyDescent="0.3">
      <c r="B5" s="457" t="s">
        <v>268</v>
      </c>
      <c r="C5" s="458"/>
      <c r="D5" s="4"/>
      <c r="E5" s="4"/>
      <c r="F5" s="4"/>
      <c r="G5" s="4"/>
      <c r="H5" s="317"/>
      <c r="I5" s="4"/>
      <c r="J5" s="4"/>
      <c r="K5" s="318"/>
      <c r="L5" s="4"/>
      <c r="M5" s="317"/>
      <c r="N5" s="4"/>
      <c r="O5" s="4"/>
      <c r="P5" s="4"/>
      <c r="Q5" s="4"/>
      <c r="R5" s="317"/>
      <c r="S5" s="4"/>
      <c r="T5" s="4"/>
      <c r="U5" s="4"/>
      <c r="V5" s="4"/>
      <c r="W5" s="317"/>
      <c r="X5" s="4"/>
      <c r="Y5" s="4"/>
      <c r="Z5" s="4"/>
      <c r="AA5" s="4"/>
      <c r="AB5" s="317"/>
      <c r="AC5" s="4"/>
      <c r="AD5" s="4"/>
      <c r="AE5" s="4"/>
      <c r="AF5" s="4"/>
      <c r="AG5" s="317"/>
      <c r="AH5" s="4"/>
      <c r="AI5" s="4"/>
      <c r="AJ5" s="4"/>
      <c r="AK5" s="4"/>
      <c r="AL5" s="317"/>
      <c r="AM5" s="4"/>
      <c r="AN5" s="4"/>
      <c r="AO5" s="4"/>
      <c r="AP5" s="4"/>
      <c r="AQ5" s="317"/>
      <c r="AR5" s="4"/>
      <c r="AS5" s="4"/>
      <c r="AT5" s="4"/>
      <c r="AU5" s="4"/>
      <c r="AV5" s="317"/>
    </row>
    <row r="6" spans="2:48" outlineLevel="1" x14ac:dyDescent="0.3">
      <c r="B6" s="308" t="s">
        <v>269</v>
      </c>
      <c r="C6" s="44"/>
      <c r="D6" s="16">
        <v>760.40000000000043</v>
      </c>
      <c r="E6" s="101">
        <v>658.59999999999968</v>
      </c>
      <c r="F6" s="16">
        <v>1373.200000000001</v>
      </c>
      <c r="G6" s="16">
        <v>802.400000000001</v>
      </c>
      <c r="H6" s="17">
        <v>3594.6000000000054</v>
      </c>
      <c r="I6" s="16">
        <v>885.29999999999882</v>
      </c>
      <c r="J6" s="16">
        <v>324.79999999999905</v>
      </c>
      <c r="K6" s="16">
        <v>-678.09999999999923</v>
      </c>
      <c r="L6" s="16">
        <f>924.7-K6-J6-I6</f>
        <v>392.70000000000141</v>
      </c>
      <c r="M6" s="17">
        <v>924.70000000000437</v>
      </c>
      <c r="N6" s="16">
        <v>622.20000000000016</v>
      </c>
      <c r="O6" s="16">
        <v>659.4</v>
      </c>
      <c r="P6" s="16">
        <v>1154.1999999999989</v>
      </c>
      <c r="Q6" s="16">
        <v>1764.6</v>
      </c>
      <c r="R6" s="17">
        <v>4200.3999999999978</v>
      </c>
      <c r="S6" s="16">
        <v>816.10000000000014</v>
      </c>
      <c r="T6" s="16">
        <v>675.00000000000011</v>
      </c>
      <c r="U6" s="16">
        <v>913.69999999999959</v>
      </c>
      <c r="V6" s="16">
        <f>'IS (Bull-Case)'!V25</f>
        <v>766.45200440213353</v>
      </c>
      <c r="W6" s="17">
        <f t="shared" ref="W6:W13" si="0">SUM(S6:V6)</f>
        <v>3171.2520044021339</v>
      </c>
      <c r="X6" s="16">
        <f>'IS (Bull-Case)'!X25</f>
        <v>820.34273547179328</v>
      </c>
      <c r="Y6" s="16">
        <f>'IS (Bull-Case)'!Y25</f>
        <v>798.63476147631695</v>
      </c>
      <c r="Z6" s="16">
        <f>'IS (Bull-Case)'!Z25</f>
        <v>1030.6913623023506</v>
      </c>
      <c r="AA6" s="16">
        <f>'IS (Bull-Case)'!AA25</f>
        <v>1098.8528968044375</v>
      </c>
      <c r="AB6" s="17">
        <f t="shared" ref="AB6" si="1">SUM(X6:AA6)</f>
        <v>3748.5217560548981</v>
      </c>
      <c r="AC6" s="16">
        <f>'IS (Bull-Case)'!AC25</f>
        <v>1153.886850645908</v>
      </c>
      <c r="AD6" s="16">
        <f>'IS (Bull-Case)'!AD25</f>
        <v>952.39055929366805</v>
      </c>
      <c r="AE6" s="16">
        <f>'IS (Bull-Case)'!AE25</f>
        <v>1188.6250594684022</v>
      </c>
      <c r="AF6" s="16">
        <f>'IS (Bull-Case)'!AF25</f>
        <v>1170.6743011468166</v>
      </c>
      <c r="AG6" s="17">
        <f t="shared" ref="AG6" si="2">SUM(AC6:AF6)</f>
        <v>4465.5767705547951</v>
      </c>
      <c r="AH6" s="16">
        <f>'IS (Bull-Case)'!AH25</f>
        <v>1387.6867174449367</v>
      </c>
      <c r="AI6" s="16">
        <f>'IS (Bull-Case)'!AI25</f>
        <v>1161.9987636909732</v>
      </c>
      <c r="AJ6" s="16">
        <f>'IS (Bull-Case)'!AJ25</f>
        <v>1488.8142385461119</v>
      </c>
      <c r="AK6" s="16">
        <f>'IS (Bull-Case)'!AK25</f>
        <v>1398.6467702029356</v>
      </c>
      <c r="AL6" s="17">
        <f t="shared" ref="AL6" si="3">SUM(AH6:AK6)</f>
        <v>5437.1464898849572</v>
      </c>
      <c r="AM6" s="16">
        <f>'IS (Bull-Case)'!AM25</f>
        <v>1520.2415147241472</v>
      </c>
      <c r="AN6" s="16">
        <f>'IS (Bull-Case)'!AN25</f>
        <v>1263.8816532685141</v>
      </c>
      <c r="AO6" s="16">
        <f>'IS (Bull-Case)'!AO25</f>
        <v>1604.7544840295168</v>
      </c>
      <c r="AP6" s="16">
        <f>'IS (Bull-Case)'!AP25</f>
        <v>1526.4461732587265</v>
      </c>
      <c r="AQ6" s="17">
        <f t="shared" ref="AQ6" si="4">SUM(AM6:AP6)</f>
        <v>5915.3238252809042</v>
      </c>
      <c r="AR6" s="16">
        <f>'IS (Bull-Case)'!AR25</f>
        <v>1633.0250019486098</v>
      </c>
      <c r="AS6" s="16">
        <f>'IS (Bull-Case)'!AS25</f>
        <v>1360.5630050130433</v>
      </c>
      <c r="AT6" s="16">
        <f>'IS (Bull-Case)'!AT25</f>
        <v>1722.1515549038886</v>
      </c>
      <c r="AU6" s="16">
        <f>'IS (Bull-Case)'!AU25</f>
        <v>1641.5950215014936</v>
      </c>
      <c r="AV6" s="17">
        <f t="shared" ref="AV6" si="5">SUM(AR6:AU6)</f>
        <v>6357.3345833670355</v>
      </c>
    </row>
    <row r="7" spans="2:48" outlineLevel="1" x14ac:dyDescent="0.3">
      <c r="B7" s="308" t="s">
        <v>270</v>
      </c>
      <c r="C7" s="44"/>
      <c r="D7" s="16">
        <v>350.8</v>
      </c>
      <c r="E7" s="16">
        <f>723.5-D7</f>
        <v>372.7</v>
      </c>
      <c r="F7" s="16">
        <f>1083.6-E7-D7</f>
        <v>360.09999999999985</v>
      </c>
      <c r="G7" s="16">
        <f>1449.3-F7-E7-D7</f>
        <v>365.7</v>
      </c>
      <c r="H7" s="17">
        <f t="shared" ref="H7:H13" si="6">SUM(D7:G7)</f>
        <v>1449.3</v>
      </c>
      <c r="I7" s="16">
        <v>369.2</v>
      </c>
      <c r="J7" s="16">
        <f>746.9-I7</f>
        <v>377.7</v>
      </c>
      <c r="K7" s="16">
        <f>1124-J7-I7</f>
        <v>377.09999999999997</v>
      </c>
      <c r="L7" s="16">
        <f>1503.2-K7-J7-I7</f>
        <v>379.2000000000001</v>
      </c>
      <c r="M7" s="17">
        <f t="shared" ref="M7:M13" si="7">SUM(I7:L7)</f>
        <v>1503.2</v>
      </c>
      <c r="N7" s="16">
        <v>388.4</v>
      </c>
      <c r="O7" s="16">
        <f>772.9-N7</f>
        <v>384.5</v>
      </c>
      <c r="P7" s="16">
        <f>1146.2-O7-N7</f>
        <v>373.30000000000007</v>
      </c>
      <c r="Q7" s="16">
        <f>1524.1-P7-O7-N7</f>
        <v>377.89999999999975</v>
      </c>
      <c r="R7" s="17">
        <f t="shared" ref="R7:R13" si="8">SUM(N7:Q7)</f>
        <v>1524.1</v>
      </c>
      <c r="S7" s="16">
        <v>386.4</v>
      </c>
      <c r="T7" s="16">
        <f>777.7-S7</f>
        <v>391.30000000000007</v>
      </c>
      <c r="U7" s="16">
        <f>1169-T7-S7</f>
        <v>391.29999999999995</v>
      </c>
      <c r="V7" s="16">
        <f>('BS (Bull-Case)'!U14*'BS (Bull-Case)'!V56)</f>
        <v>388.60223486519351</v>
      </c>
      <c r="W7" s="17">
        <f t="shared" si="0"/>
        <v>1557.6022348651936</v>
      </c>
      <c r="X7" s="16">
        <f>('BS (Bull-Case)'!W14*'BS (Bull-Case)'!X56)</f>
        <v>395.05484417418882</v>
      </c>
      <c r="Y7" s="16">
        <f>('BS (Bull-Case)'!X14*'BS (Bull-Case)'!Y56)</f>
        <v>411.98023106825116</v>
      </c>
      <c r="Z7" s="16">
        <f>('BS (Bull-Case)'!Y14*'BS (Bull-Case)'!Z56)</f>
        <v>426.10015467334915</v>
      </c>
      <c r="AA7" s="16">
        <f>('BS (Bull-Case)'!Z14*'BS (Bull-Case)'!AA56)</f>
        <v>443.13346607237253</v>
      </c>
      <c r="AB7" s="17">
        <f t="shared" ref="AB7:AB13" si="9">SUM(X7:AA7)</f>
        <v>1676.2686959881617</v>
      </c>
      <c r="AC7" s="16">
        <f>('BS (Bull-Case)'!AB14*'BS (Bull-Case)'!AC56)</f>
        <v>460.36321343985617</v>
      </c>
      <c r="AD7" s="16">
        <f>('BS (Bull-Case)'!AC14*'BS (Bull-Case)'!AD56)</f>
        <v>473.72988963876128</v>
      </c>
      <c r="AE7" s="16">
        <f>('BS (Bull-Case)'!AD14*'BS (Bull-Case)'!AE56)</f>
        <v>483.95719959485916</v>
      </c>
      <c r="AF7" s="16">
        <f>('BS (Bull-Case)'!AE14*'BS (Bull-Case)'!AF56)</f>
        <v>497.35382851088525</v>
      </c>
      <c r="AG7" s="17">
        <f t="shared" ref="AG7:AG13" si="10">SUM(AC7:AF7)</f>
        <v>1915.4041311843619</v>
      </c>
      <c r="AH7" s="16">
        <f>('BS (Bull-Case)'!AG14*'BS (Bull-Case)'!AH56)</f>
        <v>511.04084653923411</v>
      </c>
      <c r="AI7" s="16">
        <f>('BS (Bull-Case)'!AH14*'BS (Bull-Case)'!AI56)</f>
        <v>521.28653407004765</v>
      </c>
      <c r="AJ7" s="16">
        <f>('BS (Bull-Case)'!AI14*'BS (Bull-Case)'!AJ56)</f>
        <v>528.63077754179085</v>
      </c>
      <c r="AK7" s="16">
        <f>('BS (Bull-Case)'!AJ14*'BS (Bull-Case)'!AK56)</f>
        <v>539.31470169024783</v>
      </c>
      <c r="AL7" s="17">
        <f t="shared" ref="AL7:AL13" si="11">SUM(AH7:AK7)</f>
        <v>2100.2728598413205</v>
      </c>
      <c r="AM7" s="16">
        <f>('BS (Bull-Case)'!AL14*'BS (Bull-Case)'!AM56)</f>
        <v>550.49040139979036</v>
      </c>
      <c r="AN7" s="16">
        <f>('BS (Bull-Case)'!AM14*'BS (Bull-Case)'!AN56)</f>
        <v>562.45518879632561</v>
      </c>
      <c r="AO7" s="16">
        <f>('BS (Bull-Case)'!AN14*'BS (Bull-Case)'!AO56)</f>
        <v>570.98526328886499</v>
      </c>
      <c r="AP7" s="16">
        <f>('BS (Bull-Case)'!AO14*'BS (Bull-Case)'!AP56)</f>
        <v>582.96354816272355</v>
      </c>
      <c r="AQ7" s="17">
        <f t="shared" ref="AQ7:AQ13" si="12">SUM(AM7:AP7)</f>
        <v>2266.8944016477044</v>
      </c>
      <c r="AR7" s="16">
        <f>('BS (Bull-Case)'!AQ14*'BS (Bull-Case)'!AR56)</f>
        <v>595.31447149818302</v>
      </c>
      <c r="AS7" s="16">
        <f>('BS (Bull-Case)'!AR14*'BS (Bull-Case)'!AS56)</f>
        <v>607.50921638100453</v>
      </c>
      <c r="AT7" s="16">
        <f>('BS (Bull-Case)'!AS14*'BS (Bull-Case)'!AT56)</f>
        <v>616.04731437947339</v>
      </c>
      <c r="AU7" s="16">
        <f>('BS (Bull-Case)'!AT14*'BS (Bull-Case)'!AU56)</f>
        <v>628.27556831474897</v>
      </c>
      <c r="AV7" s="17">
        <f t="shared" ref="AV7:AV13" si="13">SUM(AR7:AU7)</f>
        <v>2447.1465705734099</v>
      </c>
    </row>
    <row r="8" spans="2:48" outlineLevel="1" x14ac:dyDescent="0.3">
      <c r="B8" s="308" t="s">
        <v>223</v>
      </c>
      <c r="C8" s="44"/>
      <c r="D8" s="16">
        <v>-354.6</v>
      </c>
      <c r="E8" s="16">
        <f>-714.5-D8</f>
        <v>-359.9</v>
      </c>
      <c r="F8" s="16">
        <f>-1243.5-E8-D8</f>
        <v>-529</v>
      </c>
      <c r="G8" s="101">
        <f>-1495.4-F8-E8-D8</f>
        <v>-251.90000000000009</v>
      </c>
      <c r="H8" s="17">
        <f t="shared" si="6"/>
        <v>-1495.4</v>
      </c>
      <c r="I8" s="16">
        <v>10.4</v>
      </c>
      <c r="J8" s="16">
        <f>47.7-I8</f>
        <v>37.300000000000004</v>
      </c>
      <c r="K8" s="16">
        <f>20-J8-I8</f>
        <v>-27.700000000000003</v>
      </c>
      <c r="L8" s="101">
        <f>-25.8-K8-J8-I8</f>
        <v>-45.800000000000004</v>
      </c>
      <c r="M8" s="17">
        <f t="shared" si="7"/>
        <v>-25.800000000000004</v>
      </c>
      <c r="N8" s="16">
        <v>-6.1</v>
      </c>
      <c r="O8" s="16">
        <f>-25.2-N8</f>
        <v>-19.100000000000001</v>
      </c>
      <c r="P8" s="16">
        <f>-113.2-O8-N8</f>
        <v>-88</v>
      </c>
      <c r="Q8" s="101">
        <f>-146.2-P8-O8-N8</f>
        <v>-32.999999999999986</v>
      </c>
      <c r="R8" s="17">
        <f t="shared" si="8"/>
        <v>-146.19999999999999</v>
      </c>
      <c r="S8" s="16">
        <v>-0.3</v>
      </c>
      <c r="T8" s="16">
        <f>28.4-S8</f>
        <v>28.7</v>
      </c>
      <c r="U8" s="16">
        <f>35-T8-S8</f>
        <v>6.6000000000000005</v>
      </c>
      <c r="V8" s="16">
        <f>-('BS (Bull-Case)'!V16-'BS (Bull-Case)'!U16)</f>
        <v>-29.061088555148217</v>
      </c>
      <c r="W8" s="17">
        <f t="shared" si="0"/>
        <v>5.938911444851783</v>
      </c>
      <c r="X8" s="16">
        <f>-('BS (Bull-Case)'!X16-'BS (Bull-Case)'!V16)</f>
        <v>-85.468710659521548</v>
      </c>
      <c r="Y8" s="16">
        <f>-('BS (Bull-Case)'!Y16-'BS (Bull-Case)'!X16)</f>
        <v>76.615352043510484</v>
      </c>
      <c r="Z8" s="16">
        <f>-('BS (Bull-Case)'!Z16-'BS (Bull-Case)'!Y16)</f>
        <v>13.444085279574892</v>
      </c>
      <c r="AA8" s="16">
        <f>-('BS (Bull-Case)'!AA16-'BS (Bull-Case)'!Z16)</f>
        <v>5.796871076917796</v>
      </c>
      <c r="AB8" s="17">
        <f t="shared" si="9"/>
        <v>10.387597740481624</v>
      </c>
      <c r="AC8" s="16">
        <f>-('BS (Bull-Case)'!AC16-'BS (Bull-Case)'!AA16)</f>
        <v>-111.80204784423381</v>
      </c>
      <c r="AD8" s="16">
        <f>-('BS (Bull-Case)'!AD16-'BS (Bull-Case)'!AC16)</f>
        <v>85.475538825547574</v>
      </c>
      <c r="AE8" s="16">
        <f>-('BS (Bull-Case)'!AE16-'BS (Bull-Case)'!AD16)</f>
        <v>11.265955380932837</v>
      </c>
      <c r="AF8" s="16">
        <f>-('BS (Bull-Case)'!AF16-'BS (Bull-Case)'!AE16)</f>
        <v>10.591829976826375</v>
      </c>
      <c r="AG8" s="17">
        <f t="shared" si="10"/>
        <v>-4.4687236609270258</v>
      </c>
      <c r="AH8" s="16">
        <f>-('BS (Bull-Case)'!AH16-'BS (Bull-Case)'!AF16)</f>
        <v>-125.05453091257664</v>
      </c>
      <c r="AI8" s="16">
        <f>-('BS (Bull-Case)'!AI16-'BS (Bull-Case)'!AH16)</f>
        <v>92.478070341651119</v>
      </c>
      <c r="AJ8" s="16">
        <f>-('BS (Bull-Case)'!AJ16-'BS (Bull-Case)'!AI16)</f>
        <v>11.449695696046547</v>
      </c>
      <c r="AK8" s="16">
        <f>-('BS (Bull-Case)'!AK16-'BS (Bull-Case)'!AJ16)</f>
        <v>11.354166666982792</v>
      </c>
      <c r="AL8" s="17">
        <f t="shared" si="11"/>
        <v>-9.7725982078961806</v>
      </c>
      <c r="AM8" s="16">
        <f>-('BS (Bull-Case)'!AM16-'BS (Bull-Case)'!AK16)</f>
        <v>-136.67318679588493</v>
      </c>
      <c r="AN8" s="16">
        <f>-('BS (Bull-Case)'!AN16-'BS (Bull-Case)'!AM16)</f>
        <v>99.616436467583071</v>
      </c>
      <c r="AO8" s="16">
        <f>-('BS (Bull-Case)'!AO16-'BS (Bull-Case)'!AN16)</f>
        <v>11.747778753396688</v>
      </c>
      <c r="AP8" s="16">
        <f>-('BS (Bull-Case)'!AP16-'BS (Bull-Case)'!AO16)</f>
        <v>11.668837291818136</v>
      </c>
      <c r="AQ8" s="17">
        <f t="shared" si="12"/>
        <v>-13.640134283087036</v>
      </c>
      <c r="AR8" s="16">
        <f>-('BS (Bull-Case)'!AR16-'BS (Bull-Case)'!AP16)</f>
        <v>-148.77707258237524</v>
      </c>
      <c r="AS8" s="16">
        <f>-('BS (Bull-Case)'!AS16-'BS (Bull-Case)'!AR16)</f>
        <v>107.25035350842995</v>
      </c>
      <c r="AT8" s="16">
        <f>-('BS (Bull-Case)'!AT16-'BS (Bull-Case)'!AS16)</f>
        <v>12.062876678310658</v>
      </c>
      <c r="AU8" s="16">
        <f>-('BS (Bull-Case)'!AU16-'BS (Bull-Case)'!AT16)</f>
        <v>11.975353561145312</v>
      </c>
      <c r="AV8" s="17">
        <f t="shared" si="13"/>
        <v>-17.488488834489317</v>
      </c>
    </row>
    <row r="9" spans="2:48" outlineLevel="1" x14ac:dyDescent="0.3">
      <c r="B9" s="308" t="s">
        <v>271</v>
      </c>
      <c r="C9" s="44"/>
      <c r="D9" s="16">
        <v>-55</v>
      </c>
      <c r="E9" s="16">
        <f>-108.2-D9</f>
        <v>-53.2</v>
      </c>
      <c r="F9" s="16">
        <f>-174.1-E9-D9</f>
        <v>-65.899999999999991</v>
      </c>
      <c r="G9" s="101">
        <f>-250.6-F9-E9-D9</f>
        <v>-76.5</v>
      </c>
      <c r="H9" s="17">
        <f t="shared" si="6"/>
        <v>-250.6</v>
      </c>
      <c r="I9" s="16">
        <v>-62.9</v>
      </c>
      <c r="J9" s="16">
        <f>-116.3-I9</f>
        <v>-53.4</v>
      </c>
      <c r="K9" s="16">
        <f>-182.3-J9-I9</f>
        <v>-66</v>
      </c>
      <c r="L9" s="101">
        <f>-280.7-K9-J9-I9</f>
        <v>-98.399999999999977</v>
      </c>
      <c r="M9" s="17">
        <f t="shared" si="7"/>
        <v>-280.7</v>
      </c>
      <c r="N9" s="16">
        <v>-69</v>
      </c>
      <c r="O9" s="16">
        <f>-131.3-N9</f>
        <v>-62.300000000000011</v>
      </c>
      <c r="P9" s="16">
        <f>-238.3-O9-N9</f>
        <v>-107</v>
      </c>
      <c r="Q9" s="101">
        <f>-347.3-P9-O9-N9</f>
        <v>-109</v>
      </c>
      <c r="R9" s="17">
        <f t="shared" si="8"/>
        <v>-347.3</v>
      </c>
      <c r="S9" s="16">
        <v>-46.6</v>
      </c>
      <c r="T9" s="16">
        <f>-118.7-S9</f>
        <v>-72.099999999999994</v>
      </c>
      <c r="U9" s="16">
        <f>-175-T9-S9</f>
        <v>-56.300000000000004</v>
      </c>
      <c r="V9" s="16">
        <f>-'IS (Bull-Case)'!V16</f>
        <v>-54.1</v>
      </c>
      <c r="W9" s="17">
        <f t="shared" si="0"/>
        <v>-229.1</v>
      </c>
      <c r="X9" s="16">
        <f>-'IS (Bull-Case)'!X16</f>
        <v>-54.1</v>
      </c>
      <c r="Y9" s="16">
        <f>-'IS (Bull-Case)'!Y16</f>
        <v>-54.2</v>
      </c>
      <c r="Z9" s="16">
        <f>-'IS (Bull-Case)'!Z16</f>
        <v>-54.300000000000004</v>
      </c>
      <c r="AA9" s="16">
        <f>-'IS (Bull-Case)'!AA16</f>
        <v>-54.400000000000006</v>
      </c>
      <c r="AB9" s="17">
        <f t="shared" si="9"/>
        <v>-217.00000000000003</v>
      </c>
      <c r="AC9" s="16">
        <f>-'IS (Bull-Case)'!AC16</f>
        <v>-54.7</v>
      </c>
      <c r="AD9" s="16">
        <f>-'IS (Bull-Case)'!AD16</f>
        <v>-54.7</v>
      </c>
      <c r="AE9" s="16">
        <f>-'IS (Bull-Case)'!AE16</f>
        <v>-54.7</v>
      </c>
      <c r="AF9" s="16">
        <f>-'IS (Bull-Case)'!AF16</f>
        <v>-54.7</v>
      </c>
      <c r="AG9" s="17">
        <f t="shared" si="10"/>
        <v>-218.8</v>
      </c>
      <c r="AH9" s="16">
        <f>-'IS (Bull-Case)'!AH16</f>
        <v>-54.7</v>
      </c>
      <c r="AI9" s="16">
        <f>-'IS (Bull-Case)'!AI16</f>
        <v>-54.7</v>
      </c>
      <c r="AJ9" s="16">
        <f>-'IS (Bull-Case)'!AJ16</f>
        <v>-54.7</v>
      </c>
      <c r="AK9" s="16">
        <f>-'IS (Bull-Case)'!AK16</f>
        <v>-54.7</v>
      </c>
      <c r="AL9" s="17">
        <f t="shared" si="11"/>
        <v>-218.8</v>
      </c>
      <c r="AM9" s="16">
        <f>-'IS (Bull-Case)'!AM16</f>
        <v>-54.7</v>
      </c>
      <c r="AN9" s="16">
        <f>-'IS (Bull-Case)'!AN16</f>
        <v>-54.7</v>
      </c>
      <c r="AO9" s="16">
        <f>-'IS (Bull-Case)'!AO16</f>
        <v>-54.7</v>
      </c>
      <c r="AP9" s="16">
        <f>-'IS (Bull-Case)'!AP16</f>
        <v>-54.7</v>
      </c>
      <c r="AQ9" s="17">
        <f t="shared" si="12"/>
        <v>-218.8</v>
      </c>
      <c r="AR9" s="16">
        <f>-'IS (Bull-Case)'!AR16</f>
        <v>-54.7</v>
      </c>
      <c r="AS9" s="16">
        <f>-'IS (Bull-Case)'!AS16</f>
        <v>-54.7</v>
      </c>
      <c r="AT9" s="16">
        <f>-'IS (Bull-Case)'!AT16</f>
        <v>-54.7</v>
      </c>
      <c r="AU9" s="16">
        <f>-'IS (Bull-Case)'!AU16</f>
        <v>-54.7</v>
      </c>
      <c r="AV9" s="17">
        <f t="shared" si="13"/>
        <v>-218.8</v>
      </c>
    </row>
    <row r="10" spans="2:48" outlineLevel="1" x14ac:dyDescent="0.3">
      <c r="B10" s="308" t="s">
        <v>272</v>
      </c>
      <c r="C10" s="44"/>
      <c r="D10" s="16">
        <v>63.7</v>
      </c>
      <c r="E10" s="16">
        <f>93.3-D10</f>
        <v>29.599999999999994</v>
      </c>
      <c r="F10" s="16">
        <f>163.7-E10-D10</f>
        <v>70.399999999999991</v>
      </c>
      <c r="G10" s="101">
        <f>216.8-F10-E10-D10</f>
        <v>53.100000000000037</v>
      </c>
      <c r="H10" s="17">
        <f t="shared" si="6"/>
        <v>216.8</v>
      </c>
      <c r="I10" s="16">
        <v>64.3</v>
      </c>
      <c r="J10" s="16">
        <f>98.1-I10</f>
        <v>33.799999999999997</v>
      </c>
      <c r="K10" s="16">
        <f>165.6-J10-I10</f>
        <v>67.500000000000014</v>
      </c>
      <c r="L10" s="101">
        <f>227.7-K10-J10-I10</f>
        <v>62.099999999999994</v>
      </c>
      <c r="M10" s="17">
        <f t="shared" si="7"/>
        <v>227.70000000000002</v>
      </c>
      <c r="N10" s="16">
        <v>77.2</v>
      </c>
      <c r="O10" s="16">
        <f>130.2-N10</f>
        <v>52.999999999999986</v>
      </c>
      <c r="P10" s="16">
        <f>226.7-O10-N10</f>
        <v>96.499999999999986</v>
      </c>
      <c r="Q10" s="101">
        <f>336-P10-O10-N10</f>
        <v>109.3</v>
      </c>
      <c r="R10" s="17">
        <f t="shared" si="8"/>
        <v>336</v>
      </c>
      <c r="S10" s="16">
        <v>44.9</v>
      </c>
      <c r="T10" s="16">
        <f>100.8-S10</f>
        <v>55.9</v>
      </c>
      <c r="U10" s="16">
        <f>145.9-T10-S10</f>
        <v>45.1</v>
      </c>
      <c r="V10" s="16">
        <f>-V54*V9</f>
        <v>54.1</v>
      </c>
      <c r="W10" s="17">
        <f t="shared" si="0"/>
        <v>200</v>
      </c>
      <c r="X10" s="16">
        <f>-X54*X9</f>
        <v>54.1</v>
      </c>
      <c r="Y10" s="16">
        <f>-Y54*Y9</f>
        <v>54.2</v>
      </c>
      <c r="Z10" s="16">
        <f>-Z54*Z9</f>
        <v>54.300000000000004</v>
      </c>
      <c r="AA10" s="16">
        <f>-AA54*AA9</f>
        <v>54.400000000000006</v>
      </c>
      <c r="AB10" s="17">
        <f t="shared" si="9"/>
        <v>217.00000000000003</v>
      </c>
      <c r="AC10" s="16">
        <f>-AC54*AC9</f>
        <v>54.7</v>
      </c>
      <c r="AD10" s="16">
        <f>-AD54*AD9</f>
        <v>54.7</v>
      </c>
      <c r="AE10" s="16">
        <f>-AE54*AE9</f>
        <v>54.7</v>
      </c>
      <c r="AF10" s="16">
        <f>-AF54*AF9</f>
        <v>54.7</v>
      </c>
      <c r="AG10" s="17">
        <f t="shared" si="10"/>
        <v>218.8</v>
      </c>
      <c r="AH10" s="16">
        <f>-AH54*AH9</f>
        <v>54.7</v>
      </c>
      <c r="AI10" s="16">
        <f>-AI54*AI9</f>
        <v>54.7</v>
      </c>
      <c r="AJ10" s="16">
        <f>-AJ54*AJ9</f>
        <v>54.7</v>
      </c>
      <c r="AK10" s="16">
        <f>-AK54*AK9</f>
        <v>54.7</v>
      </c>
      <c r="AL10" s="17">
        <f t="shared" si="11"/>
        <v>218.8</v>
      </c>
      <c r="AM10" s="16">
        <f>-AM54*AM9</f>
        <v>54.7</v>
      </c>
      <c r="AN10" s="16">
        <f>-AN54*AN9</f>
        <v>54.7</v>
      </c>
      <c r="AO10" s="16">
        <f>-AO54*AO9</f>
        <v>54.7</v>
      </c>
      <c r="AP10" s="16">
        <f>-AP54*AP9</f>
        <v>54.7</v>
      </c>
      <c r="AQ10" s="17">
        <f t="shared" si="12"/>
        <v>218.8</v>
      </c>
      <c r="AR10" s="16">
        <f>-AR54*AR9</f>
        <v>54.7</v>
      </c>
      <c r="AS10" s="16">
        <f>-AS54*AS9</f>
        <v>54.7</v>
      </c>
      <c r="AT10" s="16">
        <f>-AT54*AT9</f>
        <v>54.7</v>
      </c>
      <c r="AU10" s="16">
        <f>-AU54*AU9</f>
        <v>54.7</v>
      </c>
      <c r="AV10" s="17">
        <f t="shared" si="13"/>
        <v>218.8</v>
      </c>
    </row>
    <row r="11" spans="2:48" outlineLevel="1" x14ac:dyDescent="0.3">
      <c r="B11" s="308" t="s">
        <v>273</v>
      </c>
      <c r="C11" s="44"/>
      <c r="D11" s="16">
        <v>0</v>
      </c>
      <c r="E11" s="16">
        <f>-21-D11</f>
        <v>-21</v>
      </c>
      <c r="F11" s="16">
        <f>-622.8-E11-D11</f>
        <v>-601.79999999999995</v>
      </c>
      <c r="G11" s="101">
        <f>-622.8-F11-E11-D11</f>
        <v>0</v>
      </c>
      <c r="H11" s="17">
        <f t="shared" si="6"/>
        <v>-622.79999999999995</v>
      </c>
      <c r="I11" s="16">
        <v>0</v>
      </c>
      <c r="J11" s="16">
        <f>0-I11</f>
        <v>0</v>
      </c>
      <c r="K11" s="16">
        <f>0-J11-I11</f>
        <v>0</v>
      </c>
      <c r="L11" s="101">
        <f>0-K11-J11-I11</f>
        <v>0</v>
      </c>
      <c r="M11" s="17">
        <f t="shared" si="7"/>
        <v>0</v>
      </c>
      <c r="N11" s="16">
        <v>0</v>
      </c>
      <c r="O11" s="16">
        <f>0-N11</f>
        <v>0</v>
      </c>
      <c r="P11" s="16">
        <f>0-O11-N11</f>
        <v>0</v>
      </c>
      <c r="Q11" s="101">
        <f>-864.5-P11-O11-N11</f>
        <v>-864.5</v>
      </c>
      <c r="R11" s="17">
        <f t="shared" si="8"/>
        <v>-864.5</v>
      </c>
      <c r="S11" s="16">
        <v>0</v>
      </c>
      <c r="T11" s="16">
        <f>0-S11</f>
        <v>0</v>
      </c>
      <c r="U11" s="16">
        <f t="shared" ref="U11" si="14">0-T11-S11</f>
        <v>0</v>
      </c>
      <c r="V11" s="16">
        <v>0</v>
      </c>
      <c r="W11" s="17">
        <f t="shared" si="0"/>
        <v>0</v>
      </c>
      <c r="X11" s="16">
        <v>0</v>
      </c>
      <c r="Y11" s="16">
        <v>0</v>
      </c>
      <c r="Z11" s="16">
        <v>0</v>
      </c>
      <c r="AA11" s="16">
        <v>0</v>
      </c>
      <c r="AB11" s="17">
        <f t="shared" si="9"/>
        <v>0</v>
      </c>
      <c r="AC11" s="16">
        <v>0</v>
      </c>
      <c r="AD11" s="16">
        <v>0</v>
      </c>
      <c r="AE11" s="16">
        <v>0</v>
      </c>
      <c r="AF11" s="16">
        <v>0</v>
      </c>
      <c r="AG11" s="17">
        <f t="shared" si="10"/>
        <v>0</v>
      </c>
      <c r="AH11" s="16">
        <v>0</v>
      </c>
      <c r="AI11" s="16">
        <v>0</v>
      </c>
      <c r="AJ11" s="16">
        <v>0</v>
      </c>
      <c r="AK11" s="16">
        <v>0</v>
      </c>
      <c r="AL11" s="17">
        <f t="shared" si="11"/>
        <v>0</v>
      </c>
      <c r="AM11" s="16">
        <v>0</v>
      </c>
      <c r="AN11" s="16">
        <v>0</v>
      </c>
      <c r="AO11" s="16">
        <v>0</v>
      </c>
      <c r="AP11" s="16">
        <v>0</v>
      </c>
      <c r="AQ11" s="17">
        <f t="shared" si="12"/>
        <v>0</v>
      </c>
      <c r="AR11" s="16">
        <v>0</v>
      </c>
      <c r="AS11" s="16">
        <v>0</v>
      </c>
      <c r="AT11" s="16">
        <v>0</v>
      </c>
      <c r="AU11" s="16">
        <v>0</v>
      </c>
      <c r="AV11" s="17">
        <f t="shared" si="13"/>
        <v>0</v>
      </c>
    </row>
    <row r="12" spans="2:48" outlineLevel="1" x14ac:dyDescent="0.3">
      <c r="B12" s="308" t="s">
        <v>274</v>
      </c>
      <c r="C12" s="44"/>
      <c r="D12" s="16">
        <v>97.3</v>
      </c>
      <c r="E12" s="16">
        <f>192.1-D12</f>
        <v>94.8</v>
      </c>
      <c r="F12" s="16">
        <f>255.4-E12-D12</f>
        <v>63.300000000000026</v>
      </c>
      <c r="G12" s="101">
        <f>308-F12-E12-D12</f>
        <v>52.59999999999998</v>
      </c>
      <c r="H12" s="17">
        <f t="shared" si="6"/>
        <v>308</v>
      </c>
      <c r="I12" s="16">
        <v>90.3</v>
      </c>
      <c r="J12" s="16">
        <f>146.6-I12</f>
        <v>56.3</v>
      </c>
      <c r="K12" s="16">
        <f>188-J12-I12</f>
        <v>41.399999999999991</v>
      </c>
      <c r="L12" s="101">
        <f>248.6-K12-J12-I12</f>
        <v>60.59999999999998</v>
      </c>
      <c r="M12" s="17">
        <f t="shared" si="7"/>
        <v>248.59999999999997</v>
      </c>
      <c r="N12" s="16">
        <v>99.3</v>
      </c>
      <c r="O12" s="16">
        <f>175.3-N12</f>
        <v>76.000000000000014</v>
      </c>
      <c r="P12" s="16">
        <f>255.3-O12-N12</f>
        <v>80.000000000000014</v>
      </c>
      <c r="Q12" s="101">
        <f>319.1-P12-O12-N12</f>
        <v>63.800000000000026</v>
      </c>
      <c r="R12" s="17">
        <f t="shared" si="8"/>
        <v>319.10000000000002</v>
      </c>
      <c r="S12" s="16">
        <v>95.8</v>
      </c>
      <c r="T12" s="16">
        <f>149.2-S12</f>
        <v>53.399999999999991</v>
      </c>
      <c r="U12" s="16">
        <f>206.6-T12-S12</f>
        <v>57.399999999999991</v>
      </c>
      <c r="V12" s="16">
        <f>'IS (Bull-Case)'!V8*V53</f>
        <v>69.964664787652922</v>
      </c>
      <c r="W12" s="17">
        <f t="shared" si="0"/>
        <v>276.56466478765287</v>
      </c>
      <c r="X12" s="16">
        <f>'IS (Bull-Case)'!X8*X53</f>
        <v>75.260238566498785</v>
      </c>
      <c r="Y12" s="16">
        <f>'IS (Bull-Case)'!Y8*Y53</f>
        <v>65.852156002933597</v>
      </c>
      <c r="Z12" s="16">
        <f>'IS (Bull-Case)'!Z8*Z53</f>
        <v>73.921274691573586</v>
      </c>
      <c r="AA12" s="16">
        <f>'IS (Bull-Case)'!AA8*AA53</f>
        <v>77.744142769175667</v>
      </c>
      <c r="AB12" s="17">
        <f t="shared" si="9"/>
        <v>292.77781203018162</v>
      </c>
      <c r="AC12" s="16">
        <f>'IS (Bull-Case)'!AC8*AC53</f>
        <v>80.722585525042149</v>
      </c>
      <c r="AD12" s="16">
        <f>'IS (Bull-Case)'!AD8*AD53</f>
        <v>75.238806556282142</v>
      </c>
      <c r="AE12" s="16">
        <f>'IS (Bull-Case)'!AE8*AE53</f>
        <v>83.098999034477572</v>
      </c>
      <c r="AF12" s="16">
        <f>'IS (Bull-Case)'!AF8*AF53</f>
        <v>85.460831547799046</v>
      </c>
      <c r="AG12" s="17">
        <f t="shared" si="10"/>
        <v>324.52122266360089</v>
      </c>
      <c r="AH12" s="16">
        <f>'IS (Bull-Case)'!AH8*AH53</f>
        <v>90.327394208926833</v>
      </c>
      <c r="AI12" s="16">
        <f>'IS (Bull-Case)'!AI8*AI53</f>
        <v>85.228517106709106</v>
      </c>
      <c r="AJ12" s="16">
        <f>'IS (Bull-Case)'!AJ8*AJ53</f>
        <v>93.631970627236001</v>
      </c>
      <c r="AK12" s="16">
        <f>'IS (Bull-Case)'!AK8*AK53</f>
        <v>96.139805224518</v>
      </c>
      <c r="AL12" s="17">
        <f t="shared" si="11"/>
        <v>365.32768716738997</v>
      </c>
      <c r="AM12" s="16">
        <f>'IS (Bull-Case)'!AM8*AM53</f>
        <v>99.305744102953753</v>
      </c>
      <c r="AN12" s="16">
        <f>'IS (Bull-Case)'!AN8*AN53</f>
        <v>93.375529170823455</v>
      </c>
      <c r="AO12" s="16">
        <f>'IS (Bull-Case)'!AO8*AO53</f>
        <v>102.077092040057</v>
      </c>
      <c r="AP12" s="16">
        <f>'IS (Bull-Case)'!AP8*AP53</f>
        <v>104.47990870210339</v>
      </c>
      <c r="AQ12" s="17">
        <f t="shared" si="12"/>
        <v>399.23827401593758</v>
      </c>
      <c r="AR12" s="16">
        <f>'IS (Bull-Case)'!AR8*AR53</f>
        <v>105.77075098157263</v>
      </c>
      <c r="AS12" s="16">
        <f>'IS (Bull-Case)'!AS8*AS53</f>
        <v>99.392555619899667</v>
      </c>
      <c r="AT12" s="16">
        <f>'IS (Bull-Case)'!AT8*AT53</f>
        <v>108.60440563154661</v>
      </c>
      <c r="AU12" s="16">
        <f>'IS (Bull-Case)'!AU8*AU53</f>
        <v>111.19327225459952</v>
      </c>
      <c r="AV12" s="17">
        <f t="shared" si="13"/>
        <v>424.96098448761848</v>
      </c>
    </row>
    <row r="13" spans="2:48" outlineLevel="1" x14ac:dyDescent="0.3">
      <c r="B13" s="319" t="s">
        <v>275</v>
      </c>
      <c r="C13" s="320"/>
      <c r="D13" s="16">
        <v>6.1</v>
      </c>
      <c r="E13" s="101">
        <f>5.4+91.1-D13</f>
        <v>90.4</v>
      </c>
      <c r="F13" s="101">
        <f>10.5+122.3-E13-D13</f>
        <v>36.300000000000004</v>
      </c>
      <c r="G13" s="101">
        <f>10.5+187.9-F13-E13-D13</f>
        <v>65.599999999999994</v>
      </c>
      <c r="H13" s="17">
        <f t="shared" si="6"/>
        <v>198.4</v>
      </c>
      <c r="I13" s="101">
        <f>5.1+294.9</f>
        <v>300</v>
      </c>
      <c r="J13" s="101">
        <f>596.3+67.7-I13</f>
        <v>364</v>
      </c>
      <c r="K13" s="101">
        <f>902.4+124.6+63.7-J13-I13</f>
        <v>426.70000000000005</v>
      </c>
      <c r="L13" s="101">
        <f>1197.6+454.4+24.5-K13-J13-I13</f>
        <v>585.79999999999995</v>
      </c>
      <c r="M13" s="17">
        <f t="shared" si="7"/>
        <v>1676.5</v>
      </c>
      <c r="N13" s="101">
        <f>308.3+132.6-10.2</f>
        <v>430.7</v>
      </c>
      <c r="O13" s="101">
        <f>617.9+175.4-15.4-N13</f>
        <v>347.2</v>
      </c>
      <c r="P13" s="101">
        <f>931.7+204.7-6.8-O13-N13</f>
        <v>351.7000000000001</v>
      </c>
      <c r="Q13" s="101">
        <f>1248.6+226.2-6-P13-O13-N13</f>
        <v>339.19999999999987</v>
      </c>
      <c r="R13" s="17">
        <f t="shared" si="8"/>
        <v>1468.8</v>
      </c>
      <c r="S13" s="101">
        <v>0</v>
      </c>
      <c r="T13" s="101">
        <f>0-S13</f>
        <v>0</v>
      </c>
      <c r="U13" s="101">
        <f>1090.4+89.6-44.7</f>
        <v>1135.3</v>
      </c>
      <c r="V13" s="33">
        <v>0</v>
      </c>
      <c r="W13" s="17">
        <f t="shared" si="0"/>
        <v>1135.3</v>
      </c>
      <c r="X13" s="33">
        <v>0</v>
      </c>
      <c r="Y13" s="33">
        <v>0</v>
      </c>
      <c r="Z13" s="33">
        <v>0</v>
      </c>
      <c r="AA13" s="33">
        <v>0</v>
      </c>
      <c r="AB13" s="17">
        <f t="shared" si="9"/>
        <v>0</v>
      </c>
      <c r="AC13" s="33">
        <v>0</v>
      </c>
      <c r="AD13" s="33">
        <v>0</v>
      </c>
      <c r="AE13" s="33">
        <v>0</v>
      </c>
      <c r="AF13" s="33">
        <v>0</v>
      </c>
      <c r="AG13" s="17">
        <f t="shared" si="10"/>
        <v>0</v>
      </c>
      <c r="AH13" s="33">
        <v>0</v>
      </c>
      <c r="AI13" s="33">
        <v>0</v>
      </c>
      <c r="AJ13" s="33">
        <v>0</v>
      </c>
      <c r="AK13" s="33">
        <v>0</v>
      </c>
      <c r="AL13" s="17">
        <f t="shared" si="11"/>
        <v>0</v>
      </c>
      <c r="AM13" s="33">
        <v>0</v>
      </c>
      <c r="AN13" s="33">
        <v>0</v>
      </c>
      <c r="AO13" s="33">
        <v>0</v>
      </c>
      <c r="AP13" s="33">
        <v>0</v>
      </c>
      <c r="AQ13" s="17">
        <f t="shared" si="12"/>
        <v>0</v>
      </c>
      <c r="AR13" s="33">
        <v>0</v>
      </c>
      <c r="AS13" s="33">
        <v>0</v>
      </c>
      <c r="AT13" s="33">
        <v>0</v>
      </c>
      <c r="AU13" s="33">
        <v>0</v>
      </c>
      <c r="AV13" s="17">
        <f t="shared" si="13"/>
        <v>0</v>
      </c>
    </row>
    <row r="14" spans="2:48" outlineLevel="1" x14ac:dyDescent="0.3">
      <c r="B14" s="489" t="s">
        <v>276</v>
      </c>
      <c r="C14" s="490"/>
      <c r="D14" s="321"/>
      <c r="E14" s="322"/>
      <c r="F14" s="323"/>
      <c r="G14" s="323"/>
      <c r="H14" s="324"/>
      <c r="I14" s="323"/>
      <c r="J14" s="323"/>
      <c r="K14" s="323"/>
      <c r="L14" s="323"/>
      <c r="M14" s="324"/>
      <c r="N14" s="323"/>
      <c r="O14" s="323"/>
      <c r="P14" s="323"/>
      <c r="Q14" s="323"/>
      <c r="R14" s="324"/>
      <c r="S14" s="323"/>
      <c r="T14" s="323"/>
      <c r="U14" s="323"/>
      <c r="V14" s="323"/>
      <c r="W14" s="324"/>
      <c r="X14" s="323"/>
      <c r="Y14" s="323"/>
      <c r="Z14" s="323"/>
      <c r="AA14" s="323"/>
      <c r="AB14" s="324"/>
      <c r="AC14" s="323"/>
      <c r="AD14" s="323"/>
      <c r="AE14" s="323"/>
      <c r="AF14" s="323"/>
      <c r="AG14" s="324"/>
      <c r="AH14" s="323"/>
      <c r="AI14" s="323"/>
      <c r="AJ14" s="323"/>
      <c r="AK14" s="323"/>
      <c r="AL14" s="324"/>
      <c r="AM14" s="323"/>
      <c r="AN14" s="323"/>
      <c r="AO14" s="323"/>
      <c r="AP14" s="323"/>
      <c r="AQ14" s="324"/>
      <c r="AR14" s="323"/>
      <c r="AS14" s="323"/>
      <c r="AT14" s="323"/>
      <c r="AU14" s="323"/>
      <c r="AV14" s="324"/>
    </row>
    <row r="15" spans="2:48" outlineLevel="1" x14ac:dyDescent="0.3">
      <c r="B15" s="485" t="s">
        <v>277</v>
      </c>
      <c r="C15" s="486"/>
      <c r="D15" s="327">
        <v>-28.8</v>
      </c>
      <c r="E15" s="327">
        <f>9.8-D15</f>
        <v>38.6</v>
      </c>
      <c r="F15" s="327">
        <f>-70.1-E15-D15</f>
        <v>-79.899999999999991</v>
      </c>
      <c r="G15" s="327">
        <f>-197.7-F15-E15-D15</f>
        <v>-127.60000000000001</v>
      </c>
      <c r="H15" s="328">
        <f t="shared" ref="H15:H21" si="15">SUM(D15:G15)</f>
        <v>-197.7</v>
      </c>
      <c r="I15" s="327">
        <v>-22.9</v>
      </c>
      <c r="J15" s="327">
        <f>-60.7-I15</f>
        <v>-37.800000000000004</v>
      </c>
      <c r="K15" s="327">
        <f>13.4-J15-I15</f>
        <v>74.099999999999994</v>
      </c>
      <c r="L15" s="327">
        <f>-2.7-K15-J15-I15</f>
        <v>-16.099999999999994</v>
      </c>
      <c r="M15" s="328">
        <f t="shared" ref="M15:M21" si="16">SUM(I15:L15)</f>
        <v>-2.7000000000000028</v>
      </c>
      <c r="N15" s="327">
        <v>19.600000000000001</v>
      </c>
      <c r="O15" s="327">
        <f>12.8-N15</f>
        <v>-6.8000000000000007</v>
      </c>
      <c r="P15" s="327">
        <f>-13.1-O15-N15</f>
        <v>-25.9</v>
      </c>
      <c r="Q15" s="327">
        <f>-43-P15-O15-N15</f>
        <v>-29.900000000000002</v>
      </c>
      <c r="R15" s="328">
        <f t="shared" ref="R15:R21" si="17">SUM(N15:Q15)</f>
        <v>-43</v>
      </c>
      <c r="S15" s="327">
        <v>-91.6</v>
      </c>
      <c r="T15" s="327">
        <f>-62.1-S15</f>
        <v>29.499999999999993</v>
      </c>
      <c r="U15" s="327">
        <f>-245.5-T15-S15</f>
        <v>-183.4</v>
      </c>
      <c r="V15" s="327">
        <f>-('BS (Bull-Case)'!V8-'BS (Bull-Case)'!U8)</f>
        <v>81.947992724675032</v>
      </c>
      <c r="W15" s="328">
        <f t="shared" ref="W15:W21" si="18">SUM(S15:V15)</f>
        <v>-163.55200727532497</v>
      </c>
      <c r="X15" s="327">
        <f>-('BS (Bull-Case)'!X8-'BS (Bull-Case)'!V8)</f>
        <v>-67.028207069488644</v>
      </c>
      <c r="Y15" s="327">
        <f>-('BS (Bull-Case)'!Y8-'BS (Bull-Case)'!X8)</f>
        <v>-47.924994564652479</v>
      </c>
      <c r="Z15" s="327">
        <f>-('BS (Bull-Case)'!Z8-'BS (Bull-Case)'!Y8)</f>
        <v>-204.54962949399419</v>
      </c>
      <c r="AA15" s="327">
        <f>-('BS (Bull-Case)'!AA8-'BS (Bull-Case)'!Z8)</f>
        <v>170.88122536040146</v>
      </c>
      <c r="AB15" s="328">
        <f t="shared" ref="AB15:AB21" si="19">SUM(X15:AA15)</f>
        <v>-148.62160576773385</v>
      </c>
      <c r="AC15" s="327">
        <f>-('BS (Bull-Case)'!AC8-'BS (Bull-Case)'!AA8)</f>
        <v>-74.090019496419245</v>
      </c>
      <c r="AD15" s="327">
        <f>-('BS (Bull-Case)'!AD8-'BS (Bull-Case)'!AC8)</f>
        <v>28.506983164120356</v>
      </c>
      <c r="AE15" s="327">
        <f>-('BS (Bull-Case)'!AE8-'BS (Bull-Case)'!AD8)</f>
        <v>-142.07437216237122</v>
      </c>
      <c r="AF15" s="327">
        <f>-('BS (Bull-Case)'!AF8-'BS (Bull-Case)'!AE8)</f>
        <v>97.116551573579045</v>
      </c>
      <c r="AG15" s="328">
        <f t="shared" ref="AG15:AG21" si="20">SUM(AC15:AF15)</f>
        <v>-90.540856921091063</v>
      </c>
      <c r="AH15" s="327">
        <f>-('BS (Bull-Case)'!AH8-'BS (Bull-Case)'!AF8)</f>
        <v>-138.31687512662188</v>
      </c>
      <c r="AI15" s="327">
        <f>-('BS (Bull-Case)'!AI8-'BS (Bull-Case)'!AH8)</f>
        <v>18.563145071177132</v>
      </c>
      <c r="AJ15" s="327">
        <f>-('BS (Bull-Case)'!AJ8-'BS (Bull-Case)'!AI8)</f>
        <v>-218.93228389983528</v>
      </c>
      <c r="AK15" s="327">
        <f>-('BS (Bull-Case)'!AK8-'BS (Bull-Case)'!AJ8)</f>
        <v>136.71973406583766</v>
      </c>
      <c r="AL15" s="328">
        <f t="shared" ref="AL15:AL21" si="21">SUM(AH15:AK15)</f>
        <v>-201.96627988944238</v>
      </c>
      <c r="AM15" s="327">
        <f>-('BS (Bull-Case)'!AM8-'BS (Bull-Case)'!AK8)</f>
        <v>-83.648729351699785</v>
      </c>
      <c r="AN15" s="327">
        <f>-('BS (Bull-Case)'!AN8-'BS (Bull-Case)'!AM8)</f>
        <v>17.824586577223727</v>
      </c>
      <c r="AO15" s="327">
        <f>-('BS (Bull-Case)'!AO8-'BS (Bull-Case)'!AN8)</f>
        <v>-223.89681127794734</v>
      </c>
      <c r="AP15" s="327">
        <f>-('BS (Bull-Case)'!AP8-'BS (Bull-Case)'!AO8)</f>
        <v>166.31119470163435</v>
      </c>
      <c r="AQ15" s="328">
        <f t="shared" ref="AQ15:AQ21" si="22">SUM(AM15:AP15)</f>
        <v>-123.40975935078905</v>
      </c>
      <c r="AR15" s="327">
        <f>-('BS (Bull-Case)'!AR8-'BS (Bull-Case)'!AP8)</f>
        <v>-63.789880018108306</v>
      </c>
      <c r="AS15" s="327">
        <f>-('BS (Bull-Case)'!AS8-'BS (Bull-Case)'!AR8)</f>
        <v>33.148340822024011</v>
      </c>
      <c r="AT15" s="327">
        <f>-('BS (Bull-Case)'!AT8-'BS (Bull-Case)'!AS8)</f>
        <v>-221.31992933661559</v>
      </c>
      <c r="AU15" s="327">
        <f>-('BS (Bull-Case)'!AU8-'BS (Bull-Case)'!AT8)</f>
        <v>155.53602840006397</v>
      </c>
      <c r="AV15" s="328">
        <f t="shared" ref="AV15:AV21" si="23">SUM(AR15:AU15)</f>
        <v>-96.425440132635913</v>
      </c>
    </row>
    <row r="16" spans="2:48" outlineLevel="1" x14ac:dyDescent="0.3">
      <c r="B16" s="325" t="s">
        <v>216</v>
      </c>
      <c r="C16" s="326"/>
      <c r="D16" s="327">
        <v>44.8</v>
      </c>
      <c r="E16" s="327">
        <f>-51-D16</f>
        <v>-95.8</v>
      </c>
      <c r="F16" s="327">
        <f>-140.5-E16-D16</f>
        <v>-89.5</v>
      </c>
      <c r="G16" s="327">
        <f>-173-F16-E16-D16</f>
        <v>-32.5</v>
      </c>
      <c r="H16" s="328">
        <f t="shared" si="15"/>
        <v>-173</v>
      </c>
      <c r="I16" s="327">
        <v>122.8</v>
      </c>
      <c r="J16" s="327">
        <f>36.9-I16</f>
        <v>-85.9</v>
      </c>
      <c r="K16" s="327">
        <f>-51.7-J16-I16</f>
        <v>-88.6</v>
      </c>
      <c r="L16" s="327">
        <f>-10.9-K16-J16-I16</f>
        <v>40.799999999999997</v>
      </c>
      <c r="M16" s="328">
        <f t="shared" si="16"/>
        <v>-10.900000000000006</v>
      </c>
      <c r="N16" s="327">
        <v>90.1</v>
      </c>
      <c r="O16" s="327">
        <f>51.3-N16</f>
        <v>-38.799999999999997</v>
      </c>
      <c r="P16" s="327">
        <f>8.4-O16-N16</f>
        <v>-42.9</v>
      </c>
      <c r="Q16" s="327">
        <f>-49.8-P16-O16-N16</f>
        <v>-58.199999999999996</v>
      </c>
      <c r="R16" s="328">
        <f t="shared" si="17"/>
        <v>-49.8</v>
      </c>
      <c r="S16" s="327">
        <v>-36</v>
      </c>
      <c r="T16" s="327">
        <f>-324.9-S16</f>
        <v>-288.89999999999998</v>
      </c>
      <c r="U16" s="327">
        <f>-557.3-T16-S16</f>
        <v>-232.39999999999998</v>
      </c>
      <c r="V16" s="327">
        <f>-('BS (Bull-Case)'!V9-'BS (Bull-Case)'!U9)</f>
        <v>230.17685105161627</v>
      </c>
      <c r="W16" s="328">
        <f t="shared" si="18"/>
        <v>-327.12314894838369</v>
      </c>
      <c r="X16" s="327">
        <f>-('BS (Bull-Case)'!X9-'BS (Bull-Case)'!V9)</f>
        <v>34.014103890605156</v>
      </c>
      <c r="Y16" s="327">
        <f>-('BS (Bull-Case)'!Y9-'BS (Bull-Case)'!X9)</f>
        <v>-199.90766857478343</v>
      </c>
      <c r="Z16" s="327">
        <f>-('BS (Bull-Case)'!Z9-'BS (Bull-Case)'!Y9)</f>
        <v>-422.46356429625803</v>
      </c>
      <c r="AA16" s="327">
        <f>-('BS (Bull-Case)'!AA9-'BS (Bull-Case)'!Z9)</f>
        <v>383.18532840113994</v>
      </c>
      <c r="AB16" s="328">
        <f t="shared" si="19"/>
        <v>-205.17180057929636</v>
      </c>
      <c r="AC16" s="327">
        <f>-('BS (Bull-Case)'!AC9-'BS (Bull-Case)'!AA9)</f>
        <v>35.160273489917927</v>
      </c>
      <c r="AD16" s="327">
        <f>-('BS (Bull-Case)'!AD9-'BS (Bull-Case)'!AC9)</f>
        <v>-181.12984377885005</v>
      </c>
      <c r="AE16" s="327">
        <f>-('BS (Bull-Case)'!AE9-'BS (Bull-Case)'!AD9)</f>
        <v>-295.71126330769812</v>
      </c>
      <c r="AF16" s="327">
        <f>-('BS (Bull-Case)'!AF9-'BS (Bull-Case)'!AE9)</f>
        <v>241.02588317187565</v>
      </c>
      <c r="AG16" s="328">
        <f t="shared" si="20"/>
        <v>-200.65495042475459</v>
      </c>
      <c r="AH16" s="327">
        <f>-('BS (Bull-Case)'!AH9-'BS (Bull-Case)'!AF9)</f>
        <v>42.993141943679802</v>
      </c>
      <c r="AI16" s="327">
        <f>-('BS (Bull-Case)'!AI9-'BS (Bull-Case)'!AH9)</f>
        <v>-253.33622622584608</v>
      </c>
      <c r="AJ16" s="327">
        <f>-('BS (Bull-Case)'!AJ9-'BS (Bull-Case)'!AI9)</f>
        <v>-409.95075914734161</v>
      </c>
      <c r="AK16" s="327">
        <f>-('BS (Bull-Case)'!AK9-'BS (Bull-Case)'!AJ9)</f>
        <v>292.91382111300209</v>
      </c>
      <c r="AL16" s="328">
        <f t="shared" si="21"/>
        <v>-327.3800223165058</v>
      </c>
      <c r="AM16" s="327">
        <f>-('BS (Bull-Case)'!AM9-'BS (Bull-Case)'!AK9)</f>
        <v>130.47936340356864</v>
      </c>
      <c r="AN16" s="327">
        <f>-('BS (Bull-Case)'!AN9-'BS (Bull-Case)'!AM9)</f>
        <v>-229.86492940978542</v>
      </c>
      <c r="AO16" s="327">
        <f>-('BS (Bull-Case)'!AO9-'BS (Bull-Case)'!AN9)</f>
        <v>-443.59502294031881</v>
      </c>
      <c r="AP16" s="327">
        <f>-('BS (Bull-Case)'!AP9-'BS (Bull-Case)'!AO9)</f>
        <v>330.90702330199292</v>
      </c>
      <c r="AQ16" s="328">
        <f t="shared" si="22"/>
        <v>-212.07356564454267</v>
      </c>
      <c r="AR16" s="327">
        <f>-('BS (Bull-Case)'!AR9-'BS (Bull-Case)'!AP9)</f>
        <v>178.65453063418227</v>
      </c>
      <c r="AS16" s="327">
        <f>-('BS (Bull-Case)'!AS9-'BS (Bull-Case)'!AR9)</f>
        <v>-242.04108915215602</v>
      </c>
      <c r="AT16" s="327">
        <f>-('BS (Bull-Case)'!AT9-'BS (Bull-Case)'!AS9)</f>
        <v>-428.86474579827609</v>
      </c>
      <c r="AU16" s="327">
        <f>-('BS (Bull-Case)'!AU9-'BS (Bull-Case)'!AT9)</f>
        <v>327.03510535433406</v>
      </c>
      <c r="AV16" s="328">
        <f t="shared" si="23"/>
        <v>-165.21619896191578</v>
      </c>
    </row>
    <row r="17" spans="2:48" outlineLevel="1" x14ac:dyDescent="0.3">
      <c r="B17" s="485" t="s">
        <v>278</v>
      </c>
      <c r="C17" s="486"/>
      <c r="D17" s="327">
        <v>847.3</v>
      </c>
      <c r="E17" s="327">
        <f>774.6-D17</f>
        <v>-72.699999999999932</v>
      </c>
      <c r="F17" s="327">
        <f>831.6-E17-D17</f>
        <v>57</v>
      </c>
      <c r="G17" s="327">
        <f>922-F17-E17-D17</f>
        <v>90.399999999999977</v>
      </c>
      <c r="H17" s="328">
        <f t="shared" si="15"/>
        <v>922</v>
      </c>
      <c r="I17" s="327">
        <v>-28.5</v>
      </c>
      <c r="J17" s="327">
        <f>-247.7-I17</f>
        <v>-219.2</v>
      </c>
      <c r="K17" s="327">
        <f>-492.1-J17-I17</f>
        <v>-244.40000000000003</v>
      </c>
      <c r="L17" s="327">
        <f>-317.5-K17-J17-I17</f>
        <v>174.60000000000002</v>
      </c>
      <c r="M17" s="328">
        <f t="shared" si="16"/>
        <v>-317.5</v>
      </c>
      <c r="N17" s="327">
        <v>5.2</v>
      </c>
      <c r="O17" s="327">
        <f>139.7-N17</f>
        <v>134.5</v>
      </c>
      <c r="P17" s="327">
        <f>216.8-O17-N17</f>
        <v>77.100000000000009</v>
      </c>
      <c r="Q17" s="327">
        <f>251.1-P17-O17-N17</f>
        <v>34.299999999999997</v>
      </c>
      <c r="R17" s="328">
        <f t="shared" si="17"/>
        <v>251.10000000000002</v>
      </c>
      <c r="S17" s="327">
        <f>64.6+330.4+50.7-4.9</f>
        <v>440.8</v>
      </c>
      <c r="T17" s="327">
        <f>-120.7+670.7+77.3-17.9-S17</f>
        <v>168.59999999999997</v>
      </c>
      <c r="U17" s="327">
        <f t="shared" ref="U17:U20" si="24">0-T17-S17</f>
        <v>-609.4</v>
      </c>
      <c r="V17" s="327">
        <f>-('BS (Bull-Case)'!V10-'BS (Bull-Case)'!U10)</f>
        <v>-5.3410000000000082</v>
      </c>
      <c r="W17" s="328">
        <f t="shared" si="18"/>
        <v>-5.3410000000000082</v>
      </c>
      <c r="X17" s="327">
        <f>-('BS (Bull-Case)'!X10-'BS (Bull-Case)'!V10)</f>
        <v>-5.3944099999999935</v>
      </c>
      <c r="Y17" s="327">
        <f>-('BS (Bull-Case)'!Y10-'BS (Bull-Case)'!X10)</f>
        <v>-5.4483540999999605</v>
      </c>
      <c r="Z17" s="327">
        <f>-('BS (Bull-Case)'!Z10-'BS (Bull-Case)'!Y10)</f>
        <v>-5.5028376410000419</v>
      </c>
      <c r="AA17" s="327">
        <f>-('BS (Bull-Case)'!AA10-'BS (Bull-Case)'!Z10)</f>
        <v>-5.5578660174099923</v>
      </c>
      <c r="AB17" s="328">
        <f t="shared" si="19"/>
        <v>-21.903467758409988</v>
      </c>
      <c r="AC17" s="327">
        <f>-('BS (Bull-Case)'!AC10-'BS (Bull-Case)'!AA10)</f>
        <v>-5.6134446775840843</v>
      </c>
      <c r="AD17" s="327">
        <f>-('BS (Bull-Case)'!AD10-'BS (Bull-Case)'!AC10)</f>
        <v>-5.6695791243599842</v>
      </c>
      <c r="AE17" s="327">
        <f>-('BS (Bull-Case)'!AE10-'BS (Bull-Case)'!AD10)</f>
        <v>-5.7262749156035397</v>
      </c>
      <c r="AF17" s="327">
        <f>-('BS (Bull-Case)'!AF10-'BS (Bull-Case)'!AE10)</f>
        <v>-5.7835376647595922</v>
      </c>
      <c r="AG17" s="328">
        <f t="shared" si="20"/>
        <v>-22.7928363823072</v>
      </c>
      <c r="AH17" s="327">
        <f>-('BS (Bull-Case)'!AH10-'BS (Bull-Case)'!AF10)</f>
        <v>-5.8413730414072234</v>
      </c>
      <c r="AI17" s="327">
        <f>-('BS (Bull-Case)'!AI10-'BS (Bull-Case)'!AH10)</f>
        <v>-5.8997867718212547</v>
      </c>
      <c r="AJ17" s="327">
        <f>-('BS (Bull-Case)'!AJ10-'BS (Bull-Case)'!AI10)</f>
        <v>-5.9587846395394308</v>
      </c>
      <c r="AK17" s="327">
        <f>-('BS (Bull-Case)'!AK10-'BS (Bull-Case)'!AJ10)</f>
        <v>-6.0183724859348331</v>
      </c>
      <c r="AL17" s="328">
        <f t="shared" si="21"/>
        <v>-23.718316938702742</v>
      </c>
      <c r="AM17" s="327">
        <f>-('BS (Bull-Case)'!AM10-'BS (Bull-Case)'!AK10)</f>
        <v>-6.0785562107942042</v>
      </c>
      <c r="AN17" s="327">
        <f>-('BS (Bull-Case)'!AN10-'BS (Bull-Case)'!AM10)</f>
        <v>-6.1393417729021849</v>
      </c>
      <c r="AO17" s="327">
        <f>-('BS (Bull-Case)'!AO10-'BS (Bull-Case)'!AN10)</f>
        <v>-6.2007351906311214</v>
      </c>
      <c r="AP17" s="327">
        <f>-('BS (Bull-Case)'!AP10-'BS (Bull-Case)'!AO10)</f>
        <v>-6.2627425425374668</v>
      </c>
      <c r="AQ17" s="328">
        <f t="shared" si="22"/>
        <v>-24.681375716864977</v>
      </c>
      <c r="AR17" s="327">
        <f>-('BS (Bull-Case)'!AR10-'BS (Bull-Case)'!AP10)</f>
        <v>-6.3253699679628426</v>
      </c>
      <c r="AS17" s="327">
        <f>-('BS (Bull-Case)'!AS10-'BS (Bull-Case)'!AR10)</f>
        <v>-6.3886236676424915</v>
      </c>
      <c r="AT17" s="327">
        <f>-('BS (Bull-Case)'!AT10-'BS (Bull-Case)'!AS10)</f>
        <v>-6.4525099043189584</v>
      </c>
      <c r="AU17" s="327">
        <f>-('BS (Bull-Case)'!AU10-'BS (Bull-Case)'!AT10)</f>
        <v>-6.5170350033621389</v>
      </c>
      <c r="AV17" s="328">
        <f t="shared" si="23"/>
        <v>-25.683538543286431</v>
      </c>
    </row>
    <row r="18" spans="2:48" outlineLevel="1" x14ac:dyDescent="0.3">
      <c r="B18" s="485" t="s">
        <v>229</v>
      </c>
      <c r="C18" s="486"/>
      <c r="D18" s="327">
        <v>-21.3</v>
      </c>
      <c r="E18" s="327">
        <f>-83.4-D18</f>
        <v>-62.100000000000009</v>
      </c>
      <c r="F18" s="327">
        <f>-15.1-E18-D18</f>
        <v>68.300000000000011</v>
      </c>
      <c r="G18" s="327">
        <f>31.9-F18-E18-D18</f>
        <v>47</v>
      </c>
      <c r="H18" s="328">
        <f t="shared" si="15"/>
        <v>31.900000000000006</v>
      </c>
      <c r="I18" s="327">
        <v>-110.3</v>
      </c>
      <c r="J18" s="327">
        <f>-186.4-I18</f>
        <v>-76.100000000000009</v>
      </c>
      <c r="K18" s="327">
        <f>-320.3-J18-I18</f>
        <v>-133.89999999999998</v>
      </c>
      <c r="L18" s="327">
        <f>-210.8-K18-J18-I18</f>
        <v>109.49999999999997</v>
      </c>
      <c r="M18" s="328">
        <f t="shared" si="16"/>
        <v>-210.79999999999998</v>
      </c>
      <c r="N18" s="327">
        <v>24.8</v>
      </c>
      <c r="O18" s="327">
        <f>21.3-N18</f>
        <v>-3.5</v>
      </c>
      <c r="P18" s="327">
        <f>108.2-O18-N18</f>
        <v>86.9</v>
      </c>
      <c r="Q18" s="327">
        <f>189.9-P18-O18-N18</f>
        <v>81.7</v>
      </c>
      <c r="R18" s="328">
        <f t="shared" si="17"/>
        <v>189.9</v>
      </c>
      <c r="S18" s="327">
        <v>84</v>
      </c>
      <c r="T18" s="327">
        <f>133-S18</f>
        <v>49</v>
      </c>
      <c r="U18" s="327">
        <f>341.7-T18-S18</f>
        <v>208.7</v>
      </c>
      <c r="V18" s="327">
        <f>'BS (Bull-Case)'!V22-'BS (Bull-Case)'!U22</f>
        <v>-111.74786545579241</v>
      </c>
      <c r="W18" s="328">
        <f t="shared" si="18"/>
        <v>229.95213454420758</v>
      </c>
      <c r="X18" s="327">
        <f>'BS (Bull-Case)'!X22-'BS (Bull-Case)'!V22</f>
        <v>37.861298279927951</v>
      </c>
      <c r="Y18" s="327">
        <f>'BS (Bull-Case)'!Y22-'BS (Bull-Case)'!X22</f>
        <v>-4.0409282875748431</v>
      </c>
      <c r="Z18" s="327">
        <f>'BS (Bull-Case)'!Z22-'BS (Bull-Case)'!Y22</f>
        <v>232.08866036652853</v>
      </c>
      <c r="AA18" s="327">
        <f>'BS (Bull-Case)'!AA22-'BS (Bull-Case)'!Z22</f>
        <v>-151.29963180912341</v>
      </c>
      <c r="AB18" s="328">
        <f t="shared" si="19"/>
        <v>114.60939854975823</v>
      </c>
      <c r="AC18" s="327">
        <f>'BS (Bull-Case)'!AC22-'BS (Bull-Case)'!AA22</f>
        <v>68.474145187362637</v>
      </c>
      <c r="AD18" s="327">
        <f>'BS (Bull-Case)'!AD22-'BS (Bull-Case)'!AC22</f>
        <v>-11.83498720552052</v>
      </c>
      <c r="AE18" s="327">
        <f>'BS (Bull-Case)'!AE22-'BS (Bull-Case)'!AD22</f>
        <v>225.91737210387168</v>
      </c>
      <c r="AF18" s="327">
        <f>'BS (Bull-Case)'!AF22-'BS (Bull-Case)'!AE22</f>
        <v>-90.958461185640999</v>
      </c>
      <c r="AG18" s="328">
        <f t="shared" si="20"/>
        <v>191.5980689000728</v>
      </c>
      <c r="AH18" s="327">
        <f>'BS (Bull-Case)'!AH22-'BS (Bull-Case)'!AF22</f>
        <v>51.3901222418001</v>
      </c>
      <c r="AI18" s="327">
        <f>'BS (Bull-Case)'!AI22-'BS (Bull-Case)'!AH22</f>
        <v>-4.1857377609680952</v>
      </c>
      <c r="AJ18" s="327">
        <f>'BS (Bull-Case)'!AJ22-'BS (Bull-Case)'!AI22</f>
        <v>274.26245910779562</v>
      </c>
      <c r="AK18" s="327">
        <f>'BS (Bull-Case)'!AK22-'BS (Bull-Case)'!AJ22</f>
        <v>-106.19896629686536</v>
      </c>
      <c r="AL18" s="328">
        <f t="shared" si="21"/>
        <v>215.26787729176226</v>
      </c>
      <c r="AM18" s="327">
        <f>'BS (Bull-Case)'!AM22-'BS (Bull-Case)'!AK22</f>
        <v>2.0928633151354461</v>
      </c>
      <c r="AN18" s="327">
        <f>'BS (Bull-Case)'!AN22-'BS (Bull-Case)'!AM22</f>
        <v>-25.869063868640524</v>
      </c>
      <c r="AO18" s="327">
        <f>'BS (Bull-Case)'!AO22-'BS (Bull-Case)'!AN22</f>
        <v>287.25465687505357</v>
      </c>
      <c r="AP18" s="327">
        <f>'BS (Bull-Case)'!AP22-'BS (Bull-Case)'!AO22</f>
        <v>-114.01360487891043</v>
      </c>
      <c r="AQ18" s="328">
        <f t="shared" si="22"/>
        <v>149.46485144263806</v>
      </c>
      <c r="AR18" s="327">
        <f>'BS (Bull-Case)'!AR22-'BS (Bull-Case)'!AP22</f>
        <v>-21.809128393671699</v>
      </c>
      <c r="AS18" s="327">
        <f>'BS (Bull-Case)'!AS22-'BS (Bull-Case)'!AR22</f>
        <v>-27.508566355490984</v>
      </c>
      <c r="AT18" s="327">
        <f>'BS (Bull-Case)'!AT22-'BS (Bull-Case)'!AS22</f>
        <v>295.81098393356228</v>
      </c>
      <c r="AU18" s="327">
        <f>'BS (Bull-Case)'!AU22-'BS (Bull-Case)'!AT22</f>
        <v>-116.23249997173025</v>
      </c>
      <c r="AV18" s="328">
        <f t="shared" si="23"/>
        <v>130.26078921266935</v>
      </c>
    </row>
    <row r="19" spans="2:48" outlineLevel="1" x14ac:dyDescent="0.3">
      <c r="B19" s="325" t="s">
        <v>234</v>
      </c>
      <c r="C19" s="326"/>
      <c r="D19" s="327">
        <v>362.7</v>
      </c>
      <c r="E19" s="327">
        <f>9.4-D19</f>
        <v>-353.3</v>
      </c>
      <c r="F19" s="327">
        <f>-32.4-E19-D19</f>
        <v>-41.799999999999955</v>
      </c>
      <c r="G19" s="327">
        <f>-30.5-F19-E19-D19</f>
        <v>1.8999999999999773</v>
      </c>
      <c r="H19" s="328">
        <f t="shared" si="15"/>
        <v>-30.5</v>
      </c>
      <c r="I19" s="327">
        <v>426.7</v>
      </c>
      <c r="J19" s="327">
        <f>112.1-I19</f>
        <v>-314.60000000000002</v>
      </c>
      <c r="K19" s="327">
        <f>92-J19-I19</f>
        <v>-20.099999999999966</v>
      </c>
      <c r="L19" s="327">
        <f>31-K19-J19-I19</f>
        <v>-61</v>
      </c>
      <c r="M19" s="328">
        <f t="shared" si="16"/>
        <v>31</v>
      </c>
      <c r="N19" s="327">
        <v>398.9</v>
      </c>
      <c r="O19" s="327">
        <f>89.8-N19</f>
        <v>-309.09999999999997</v>
      </c>
      <c r="P19" s="327">
        <f>52.4-O19-N19</f>
        <v>-37.400000000000034</v>
      </c>
      <c r="Q19" s="327">
        <f>-6.1-P19-O19-N19</f>
        <v>-58.5</v>
      </c>
      <c r="R19" s="328">
        <f t="shared" si="17"/>
        <v>-6.1000000000000227</v>
      </c>
      <c r="S19" s="327">
        <v>461.3</v>
      </c>
      <c r="T19" s="327">
        <f>110.2-S19</f>
        <v>-351.1</v>
      </c>
      <c r="U19" s="327">
        <f>32.7-T19-S19</f>
        <v>-77.5</v>
      </c>
      <c r="V19" s="327">
        <f>+('BS (Bull-Case)'!V27-'BS (Bull-Case)'!U27)</f>
        <v>-17.230000000000018</v>
      </c>
      <c r="W19" s="328">
        <f t="shared" si="18"/>
        <v>15.46999999999997</v>
      </c>
      <c r="X19" s="327">
        <f>+('BS (Bull-Case)'!X27-'BS (Bull-Case)'!V27)</f>
        <v>511.73100000000022</v>
      </c>
      <c r="Y19" s="327">
        <f>+('BS (Bull-Case)'!Y27-'BS (Bull-Case)'!X27)</f>
        <v>-332.62515000000008</v>
      </c>
      <c r="Z19" s="327">
        <f>+('BS (Bull-Case)'!Z27-'BS (Bull-Case)'!Y27)</f>
        <v>-18.848758500000031</v>
      </c>
      <c r="AA19" s="327">
        <f>+('BS (Bull-Case)'!AA27-'BS (Bull-Case)'!Z27)</f>
        <v>-18.660270914999955</v>
      </c>
      <c r="AB19" s="328">
        <f t="shared" si="19"/>
        <v>141.59682058500016</v>
      </c>
      <c r="AC19" s="327">
        <f>+('BS (Bull-Case)'!AC27-'BS (Bull-Case)'!AA27)</f>
        <v>554.21004617550011</v>
      </c>
      <c r="AD19" s="327">
        <f>+('BS (Bull-Case)'!AD27-'BS (Bull-Case)'!AC27)</f>
        <v>-360.23653001407502</v>
      </c>
      <c r="AE19" s="327">
        <f>+('BS (Bull-Case)'!AE27-'BS (Bull-Case)'!AD27)</f>
        <v>-20.413403367464298</v>
      </c>
      <c r="AF19" s="327">
        <f>+('BS (Bull-Case)'!AF27-'BS (Bull-Case)'!AE27)</f>
        <v>-20.209269333789734</v>
      </c>
      <c r="AG19" s="328">
        <f t="shared" si="20"/>
        <v>153.35084346017106</v>
      </c>
      <c r="AH19" s="327">
        <f>+('BS (Bull-Case)'!AH27-'BS (Bull-Case)'!AF27)</f>
        <v>600.21529921355159</v>
      </c>
      <c r="AI19" s="327">
        <f>+('BS (Bull-Case)'!AI27-'BS (Bull-Case)'!AH27)</f>
        <v>-390.1399444888084</v>
      </c>
      <c r="AJ19" s="327">
        <f>+('BS (Bull-Case)'!AJ27-'BS (Bull-Case)'!AI27)</f>
        <v>-22.107930187699367</v>
      </c>
      <c r="AK19" s="327">
        <f>+('BS (Bull-Case)'!AK27-'BS (Bull-Case)'!AJ27)</f>
        <v>-21.886850885822241</v>
      </c>
      <c r="AL19" s="328">
        <f t="shared" si="21"/>
        <v>166.08057365122158</v>
      </c>
      <c r="AM19" s="327">
        <f>+('BS (Bull-Case)'!AM27-'BS (Bull-Case)'!AK27)</f>
        <v>650.03947130891811</v>
      </c>
      <c r="AN19" s="327">
        <f>+('BS (Bull-Case)'!AN27-'BS (Bull-Case)'!AM27)</f>
        <v>-422.52565635079691</v>
      </c>
      <c r="AO19" s="327">
        <f>+('BS (Bull-Case)'!AO27-'BS (Bull-Case)'!AN27)</f>
        <v>-23.943120526545044</v>
      </c>
      <c r="AP19" s="327">
        <f>+('BS (Bull-Case)'!AP27-'BS (Bull-Case)'!AO27)</f>
        <v>-23.703689321279853</v>
      </c>
      <c r="AQ19" s="328">
        <f t="shared" si="22"/>
        <v>179.8670051102963</v>
      </c>
      <c r="AR19" s="327">
        <f>+('BS (Bull-Case)'!AR27-'BS (Bull-Case)'!AP27)</f>
        <v>703.99957284200673</v>
      </c>
      <c r="AS19" s="327">
        <f>+('BS (Bull-Case)'!AS27-'BS (Bull-Case)'!AR27)</f>
        <v>-457.59972234730458</v>
      </c>
      <c r="AT19" s="327">
        <f>+('BS (Bull-Case)'!AT27-'BS (Bull-Case)'!AS27)</f>
        <v>-25.930650933014022</v>
      </c>
      <c r="AU19" s="327">
        <f>+('BS (Bull-Case)'!AU27-'BS (Bull-Case)'!AT27)</f>
        <v>-25.671344423683877</v>
      </c>
      <c r="AV19" s="328">
        <f t="shared" si="23"/>
        <v>194.79785513800425</v>
      </c>
    </row>
    <row r="20" spans="2:48" outlineLevel="1" x14ac:dyDescent="0.3">
      <c r="B20" s="325" t="s">
        <v>279</v>
      </c>
      <c r="C20" s="326"/>
      <c r="D20" s="327">
        <v>0</v>
      </c>
      <c r="E20" s="327">
        <v>0</v>
      </c>
      <c r="F20" s="327">
        <f>1045.4-E20-D20</f>
        <v>1045.4000000000001</v>
      </c>
      <c r="G20" s="327">
        <f>1237-F20-E20-D20</f>
        <v>191.59999999999991</v>
      </c>
      <c r="H20" s="328">
        <f t="shared" si="15"/>
        <v>1237</v>
      </c>
      <c r="I20" s="327">
        <v>125.1</v>
      </c>
      <c r="J20" s="327">
        <f>-1227.4-I20</f>
        <v>-1352.5</v>
      </c>
      <c r="K20" s="327">
        <f>-1224.5-J20-I20</f>
        <v>2.9000000000000057</v>
      </c>
      <c r="L20" s="327">
        <f>-1214.6-K20-J20-I20</f>
        <v>9.9000000000000057</v>
      </c>
      <c r="M20" s="328">
        <f t="shared" si="16"/>
        <v>-1214.5999999999999</v>
      </c>
      <c r="N20" s="327">
        <v>56.9</v>
      </c>
      <c r="O20" s="327">
        <f>40-N20</f>
        <v>-16.899999999999999</v>
      </c>
      <c r="P20" s="327">
        <f>128.9-O20-N20</f>
        <v>88.9</v>
      </c>
      <c r="Q20" s="327">
        <f>286.1-P20-O20-N20</f>
        <v>157.20000000000002</v>
      </c>
      <c r="R20" s="328">
        <f t="shared" si="17"/>
        <v>286.10000000000002</v>
      </c>
      <c r="S20" s="327">
        <v>0</v>
      </c>
      <c r="T20" s="327">
        <f>0-S20</f>
        <v>0</v>
      </c>
      <c r="U20" s="327">
        <f t="shared" si="24"/>
        <v>0</v>
      </c>
      <c r="V20" s="327">
        <f>+('BS (Bull-Case)'!V25-'BS (Bull-Case)'!U25)</f>
        <v>0</v>
      </c>
      <c r="W20" s="328">
        <f t="shared" si="18"/>
        <v>0</v>
      </c>
      <c r="X20" s="327">
        <f>+('BS (Bull-Case)'!X25-'BS (Bull-Case)'!V25)</f>
        <v>0</v>
      </c>
      <c r="Y20" s="327">
        <f>+('BS (Bull-Case)'!Y25-'BS (Bull-Case)'!X25)</f>
        <v>0</v>
      </c>
      <c r="Z20" s="327">
        <f>+('BS (Bull-Case)'!Z25-'BS (Bull-Case)'!Y25)</f>
        <v>0</v>
      </c>
      <c r="AA20" s="327">
        <f>+('BS (Bull-Case)'!AA25-'BS (Bull-Case)'!Z25)</f>
        <v>0</v>
      </c>
      <c r="AB20" s="328">
        <f t="shared" si="19"/>
        <v>0</v>
      </c>
      <c r="AC20" s="327">
        <f>+('BS (Bull-Case)'!AC25-'BS (Bull-Case)'!AA25)</f>
        <v>0</v>
      </c>
      <c r="AD20" s="327">
        <f>+('BS (Bull-Case)'!AD25-'BS (Bull-Case)'!AC25)</f>
        <v>0</v>
      </c>
      <c r="AE20" s="327">
        <f>+('BS (Bull-Case)'!AE25-'BS (Bull-Case)'!AD25)</f>
        <v>0</v>
      </c>
      <c r="AF20" s="327">
        <f>+('BS (Bull-Case)'!AF25-'BS (Bull-Case)'!AE25)</f>
        <v>0</v>
      </c>
      <c r="AG20" s="328">
        <f t="shared" si="20"/>
        <v>0</v>
      </c>
      <c r="AH20" s="327">
        <f>+('BS (Bull-Case)'!AH25-'BS (Bull-Case)'!AF25)</f>
        <v>0</v>
      </c>
      <c r="AI20" s="327">
        <f>+('BS (Bull-Case)'!AI25-'BS (Bull-Case)'!AH25)</f>
        <v>0</v>
      </c>
      <c r="AJ20" s="327">
        <f>+('BS (Bull-Case)'!AJ25-'BS (Bull-Case)'!AI25)</f>
        <v>0</v>
      </c>
      <c r="AK20" s="327">
        <f>+('BS (Bull-Case)'!AK25-'BS (Bull-Case)'!AJ25)</f>
        <v>0</v>
      </c>
      <c r="AL20" s="328">
        <f t="shared" si="21"/>
        <v>0</v>
      </c>
      <c r="AM20" s="327">
        <f>+('BS (Bull-Case)'!AM25-'BS (Bull-Case)'!AK25)</f>
        <v>0</v>
      </c>
      <c r="AN20" s="327">
        <f>+('BS (Bull-Case)'!AN25-'BS (Bull-Case)'!AM25)</f>
        <v>0</v>
      </c>
      <c r="AO20" s="327">
        <f>+('BS (Bull-Case)'!AO25-'BS (Bull-Case)'!AN25)</f>
        <v>0</v>
      </c>
      <c r="AP20" s="327">
        <f>+('BS (Bull-Case)'!AP25-'BS (Bull-Case)'!AO25)</f>
        <v>0</v>
      </c>
      <c r="AQ20" s="328">
        <f t="shared" si="22"/>
        <v>0</v>
      </c>
      <c r="AR20" s="327">
        <f>+('BS (Bull-Case)'!AR25-'BS (Bull-Case)'!AP25)</f>
        <v>0</v>
      </c>
      <c r="AS20" s="327">
        <f>+('BS (Bull-Case)'!AS25-'BS (Bull-Case)'!AR25)</f>
        <v>0</v>
      </c>
      <c r="AT20" s="327">
        <f>+('BS (Bull-Case)'!AT25-'BS (Bull-Case)'!AS25)</f>
        <v>0</v>
      </c>
      <c r="AU20" s="327">
        <f>+('BS (Bull-Case)'!AU25-'BS (Bull-Case)'!AT25)</f>
        <v>0</v>
      </c>
      <c r="AV20" s="328">
        <f t="shared" si="23"/>
        <v>0</v>
      </c>
    </row>
    <row r="21" spans="2:48" ht="16.2" outlineLevel="1" x14ac:dyDescent="0.45">
      <c r="B21" s="485" t="s">
        <v>280</v>
      </c>
      <c r="C21" s="486"/>
      <c r="D21" s="329">
        <v>305.60000000000002</v>
      </c>
      <c r="E21" s="329">
        <f>429.3-D21</f>
        <v>123.69999999999999</v>
      </c>
      <c r="F21" s="329">
        <f>-67.4-E21-D21</f>
        <v>-496.70000000000005</v>
      </c>
      <c r="G21" s="329">
        <f>-141.1-F21-E21-D21</f>
        <v>-73.699999999999989</v>
      </c>
      <c r="H21" s="330">
        <f t="shared" si="15"/>
        <v>-141.10000000000002</v>
      </c>
      <c r="I21" s="329">
        <f>-31.8-301.6</f>
        <v>-333.40000000000003</v>
      </c>
      <c r="J21" s="329">
        <f>-608.6-140.5-I21</f>
        <v>-415.7</v>
      </c>
      <c r="K21" s="329">
        <f>-918.2+70.5-J21-I21</f>
        <v>-98.600000000000023</v>
      </c>
      <c r="L21" s="329">
        <f>-1231.4+280.5-K21-J21-I21</f>
        <v>-103.20000000000005</v>
      </c>
      <c r="M21" s="330">
        <f t="shared" si="16"/>
        <v>-950.90000000000009</v>
      </c>
      <c r="N21" s="329">
        <f>-314.8+12.3</f>
        <v>-302.5</v>
      </c>
      <c r="O21" s="329">
        <f>-676.3+59.5-N21</f>
        <v>-314.29999999999995</v>
      </c>
      <c r="P21" s="329">
        <f>-1029.8+154.6-O21-N21</f>
        <v>-258.39999999999998</v>
      </c>
      <c r="Q21" s="329">
        <f>-1488.1+358.7-P21-O21-N21</f>
        <v>-254.19999999999993</v>
      </c>
      <c r="R21" s="330">
        <f t="shared" si="17"/>
        <v>-1129.3999999999999</v>
      </c>
      <c r="S21" s="329">
        <f>-363.3+79.4</f>
        <v>-283.89999999999998</v>
      </c>
      <c r="T21" s="329">
        <f>-766.3-95-S21</f>
        <v>-577.4</v>
      </c>
      <c r="U21" s="329">
        <f>-1201.4+5.8-T21-S21</f>
        <v>-334.30000000000018</v>
      </c>
      <c r="V21" s="329">
        <f>('BS (Bull-Case)'!V23-'BS (Bull-Case)'!U23)+('BS (Bull-Case)'!V33-'BS (Bull-Case)'!U33)+('BS (Bull-Case)'!V34-'BS (Bull-Case)'!U34)+('BS (Bull-Case)'!V26-'BS (Bull-Case)'!U26)+('BS (Bull-Case)'!V24-'BS (Bull-Case)'!U24)</f>
        <v>-36.524700000000166</v>
      </c>
      <c r="W21" s="330">
        <f t="shared" si="18"/>
        <v>-1232.1247000000003</v>
      </c>
      <c r="X21" s="329">
        <f>('BS (Bull-Case)'!X23-'BS (Bull-Case)'!V23)+('BS (Bull-Case)'!X33-'BS (Bull-Case)'!V33)+('BS (Bull-Case)'!X34-'BS (Bull-Case)'!V34)+('BS (Bull-Case)'!X26-'BS (Bull-Case)'!V26)+('BS (Bull-Case)'!X24-'BS (Bull-Case)'!V24)</f>
        <v>-36.346935699999904</v>
      </c>
      <c r="Y21" s="329">
        <f>('BS (Bull-Case)'!Y23-'BS (Bull-Case)'!X23)+('BS (Bull-Case)'!Y33-'BS (Bull-Case)'!X33)+('BS (Bull-Case)'!Y34-'BS (Bull-Case)'!X34)+('BS (Bull-Case)'!Y26-'BS (Bull-Case)'!X26)+('BS (Bull-Case)'!Y24-'BS (Bull-Case)'!X24)</f>
        <v>-36.170040784700177</v>
      </c>
      <c r="Z21" s="329">
        <f>('BS (Bull-Case)'!Z23-'BS (Bull-Case)'!Y23)+('BS (Bull-Case)'!Z33-'BS (Bull-Case)'!Y33)+('BS (Bull-Case)'!Z34-'BS (Bull-Case)'!Y34)+('BS (Bull-Case)'!Z26-'BS (Bull-Case)'!Y26)+('BS (Bull-Case)'!Z24-'BS (Bull-Case)'!Y24)</f>
        <v>-35.994010984923307</v>
      </c>
      <c r="AA21" s="329">
        <f>('BS (Bull-Case)'!AA23-'BS (Bull-Case)'!Z23)+('BS (Bull-Case)'!AA33-'BS (Bull-Case)'!Z33)+('BS (Bull-Case)'!AA34-'BS (Bull-Case)'!Z34)+('BS (Bull-Case)'!AA26-'BS (Bull-Case)'!Z26)+('BS (Bull-Case)'!AA24-'BS (Bull-Case)'!Z24)</f>
        <v>-35.81884205252959</v>
      </c>
      <c r="AB21" s="330">
        <f t="shared" si="19"/>
        <v>-144.32982952215298</v>
      </c>
      <c r="AC21" s="329">
        <f>('BS (Bull-Case)'!AC23-'BS (Bull-Case)'!AA23)+('BS (Bull-Case)'!AC33-'BS (Bull-Case)'!AA33)+('BS (Bull-Case)'!AC34-'BS (Bull-Case)'!AA34)+('BS (Bull-Case)'!AC26-'BS (Bull-Case)'!AA26)+('BS (Bull-Case)'!AC24-'BS (Bull-Case)'!AA24)</f>
        <v>-35.644529760307478</v>
      </c>
      <c r="AD21" s="329">
        <f>('BS (Bull-Case)'!AD23-'BS (Bull-Case)'!AC23)+('BS (Bull-Case)'!AD33-'BS (Bull-Case)'!AC33)+('BS (Bull-Case)'!AD34-'BS (Bull-Case)'!AC34)+('BS (Bull-Case)'!AD26-'BS (Bull-Case)'!AC26)+('BS (Bull-Case)'!AD24-'BS (Bull-Case)'!AC24)</f>
        <v>-35.471069901874444</v>
      </c>
      <c r="AE21" s="329">
        <f>('BS (Bull-Case)'!AE23-'BS (Bull-Case)'!AD23)+('BS (Bull-Case)'!AE33-'BS (Bull-Case)'!AD33)+('BS (Bull-Case)'!AE34-'BS (Bull-Case)'!AD34)+('BS (Bull-Case)'!AE26-'BS (Bull-Case)'!AD26)+('BS (Bull-Case)'!AE24-'BS (Bull-Case)'!AD24)</f>
        <v>-35.298458291571478</v>
      </c>
      <c r="AF21" s="329">
        <f>('BS (Bull-Case)'!AF23-'BS (Bull-Case)'!AE23)+('BS (Bull-Case)'!AF33-'BS (Bull-Case)'!AE33)+('BS (Bull-Case)'!AF34-'BS (Bull-Case)'!AE34)+('BS (Bull-Case)'!AF26-'BS (Bull-Case)'!AE26)+('BS (Bull-Case)'!AF24-'BS (Bull-Case)'!AE24)</f>
        <v>-35.126690764364412</v>
      </c>
      <c r="AG21" s="330">
        <f t="shared" si="20"/>
        <v>-141.54074871811781</v>
      </c>
      <c r="AH21" s="329">
        <f>('BS (Bull-Case)'!AH23-'BS (Bull-Case)'!AF23)+('BS (Bull-Case)'!AH33-'BS (Bull-Case)'!AF33)+('BS (Bull-Case)'!AH34-'BS (Bull-Case)'!AF34)+('BS (Bull-Case)'!AH26-'BS (Bull-Case)'!AF26)+('BS (Bull-Case)'!AH24-'BS (Bull-Case)'!AF24)</f>
        <v>-34.955763175734774</v>
      </c>
      <c r="AI21" s="329">
        <f>('BS (Bull-Case)'!AI23-'BS (Bull-Case)'!AH23)+('BS (Bull-Case)'!AI33-'BS (Bull-Case)'!AH33)+('BS (Bull-Case)'!AI34-'BS (Bull-Case)'!AH34)+('BS (Bull-Case)'!AI26-'BS (Bull-Case)'!AH26)+('BS (Bull-Case)'!AI24-'BS (Bull-Case)'!AH24)</f>
        <v>-34.785671401588388</v>
      </c>
      <c r="AJ21" s="329">
        <f>('BS (Bull-Case)'!AJ23-'BS (Bull-Case)'!AI23)+('BS (Bull-Case)'!AJ33-'BS (Bull-Case)'!AI33)+('BS (Bull-Case)'!AJ34-'BS (Bull-Case)'!AI34)+('BS (Bull-Case)'!AJ26-'BS (Bull-Case)'!AI26)+('BS (Bull-Case)'!AJ24-'BS (Bull-Case)'!AI24)</f>
        <v>-34.616411338146236</v>
      </c>
      <c r="AK21" s="329">
        <f>('BS (Bull-Case)'!AK23-'BS (Bull-Case)'!AJ23)+('BS (Bull-Case)'!AK33-'BS (Bull-Case)'!AJ33)+('BS (Bull-Case)'!AK34-'BS (Bull-Case)'!AJ34)+('BS (Bull-Case)'!AK26-'BS (Bull-Case)'!AJ26)+('BS (Bull-Case)'!AK24-'BS (Bull-Case)'!AJ24)</f>
        <v>-34.447978901846909</v>
      </c>
      <c r="AL21" s="330">
        <f t="shared" si="21"/>
        <v>-138.80582481731631</v>
      </c>
      <c r="AM21" s="329">
        <f>('BS (Bull-Case)'!AM23-'BS (Bull-Case)'!AK23)+('BS (Bull-Case)'!AM33-'BS (Bull-Case)'!AK33)+('BS (Bull-Case)'!AM34-'BS (Bull-Case)'!AK34)+('BS (Bull-Case)'!AM26-'BS (Bull-Case)'!AK26)+('BS (Bull-Case)'!AM24-'BS (Bull-Case)'!AK24)</f>
        <v>-34.280370029247024</v>
      </c>
      <c r="AN21" s="329">
        <f>('BS (Bull-Case)'!AN23-'BS (Bull-Case)'!AM23)+('BS (Bull-Case)'!AN33-'BS (Bull-Case)'!AM33)+('BS (Bull-Case)'!AN34-'BS (Bull-Case)'!AM34)+('BS (Bull-Case)'!AN26-'BS (Bull-Case)'!AM26)+('BS (Bull-Case)'!AN24-'BS (Bull-Case)'!AM24)</f>
        <v>-34.113580676922538</v>
      </c>
      <c r="AO21" s="329">
        <f>('BS (Bull-Case)'!AO23-'BS (Bull-Case)'!AN23)+('BS (Bull-Case)'!AO33-'BS (Bull-Case)'!AN33)+('BS (Bull-Case)'!AO34-'BS (Bull-Case)'!AN34)+('BS (Bull-Case)'!AO26-'BS (Bull-Case)'!AN26)+('BS (Bull-Case)'!AO24-'BS (Bull-Case)'!AN24)</f>
        <v>-33.947606821368026</v>
      </c>
      <c r="AP21" s="329">
        <f>('BS (Bull-Case)'!AP23-'BS (Bull-Case)'!AO23)+('BS (Bull-Case)'!AP33-'BS (Bull-Case)'!AO33)+('BS (Bull-Case)'!AP34-'BS (Bull-Case)'!AO34)+('BS (Bull-Case)'!AP26-'BS (Bull-Case)'!AO26)+('BS (Bull-Case)'!AP24-'BS (Bull-Case)'!AO24)</f>
        <v>-33.7824444589005</v>
      </c>
      <c r="AQ21" s="330">
        <f t="shared" si="22"/>
        <v>-136.12400198643809</v>
      </c>
      <c r="AR21" s="329">
        <f>('BS (Bull-Case)'!AR23-'BS (Bull-Case)'!AP23)+('BS (Bull-Case)'!AR33-'BS (Bull-Case)'!AP33)+('BS (Bull-Case)'!AR34-'BS (Bull-Case)'!AP34)+('BS (Bull-Case)'!AR26-'BS (Bull-Case)'!AP26)+('BS (Bull-Case)'!AR24-'BS (Bull-Case)'!AP24)</f>
        <v>-33.618089605559135</v>
      </c>
      <c r="AS21" s="329">
        <f>('BS (Bull-Case)'!AS23-'BS (Bull-Case)'!AR23)+('BS (Bull-Case)'!AS33-'BS (Bull-Case)'!AR33)+('BS (Bull-Case)'!AS34-'BS (Bull-Case)'!AR34)+('BS (Bull-Case)'!AS26-'BS (Bull-Case)'!AR26)+('BS (Bull-Case)'!AS24-'BS (Bull-Case)'!AR24)</f>
        <v>-33.454538297008185</v>
      </c>
      <c r="AT21" s="329">
        <f>('BS (Bull-Case)'!AT23-'BS (Bull-Case)'!AS23)+('BS (Bull-Case)'!AT33-'BS (Bull-Case)'!AS33)+('BS (Bull-Case)'!AT34-'BS (Bull-Case)'!AS34)+('BS (Bull-Case)'!AT26-'BS (Bull-Case)'!AS26)+('BS (Bull-Case)'!AT24-'BS (Bull-Case)'!AS24)</f>
        <v>-33.291786588442392</v>
      </c>
      <c r="AU21" s="329">
        <f>('BS (Bull-Case)'!AU23-'BS (Bull-Case)'!AT23)+('BS (Bull-Case)'!AU33-'BS (Bull-Case)'!AT33)+('BS (Bull-Case)'!AU34-'BS (Bull-Case)'!AT34)+('BS (Bull-Case)'!AU26-'BS (Bull-Case)'!AT26)+('BS (Bull-Case)'!AU24-'BS (Bull-Case)'!AT24)</f>
        <v>-33.129830554487398</v>
      </c>
      <c r="AV21" s="330">
        <f t="shared" si="23"/>
        <v>-133.49424504549711</v>
      </c>
    </row>
    <row r="22" spans="2:48" outlineLevel="1" x14ac:dyDescent="0.3">
      <c r="B22" s="487" t="s">
        <v>281</v>
      </c>
      <c r="C22" s="488"/>
      <c r="D22" s="331">
        <f t="shared" ref="D22:AV22" si="25">D6+SUM(D7:D21)</f>
        <v>2379.0000000000005</v>
      </c>
      <c r="E22" s="331">
        <f t="shared" si="25"/>
        <v>390.39999999999969</v>
      </c>
      <c r="F22" s="331">
        <f t="shared" si="25"/>
        <v>1169.400000000001</v>
      </c>
      <c r="G22" s="331">
        <f t="shared" si="25"/>
        <v>1108.1000000000008</v>
      </c>
      <c r="H22" s="332">
        <f t="shared" si="25"/>
        <v>5046.9000000000051</v>
      </c>
      <c r="I22" s="331">
        <f t="shared" si="25"/>
        <v>1836.0999999999985</v>
      </c>
      <c r="J22" s="331">
        <f t="shared" si="25"/>
        <v>-1361.3000000000009</v>
      </c>
      <c r="K22" s="331">
        <f t="shared" si="25"/>
        <v>-367.69999999999925</v>
      </c>
      <c r="L22" s="331">
        <f t="shared" si="25"/>
        <v>1490.7000000000014</v>
      </c>
      <c r="M22" s="332">
        <f t="shared" si="25"/>
        <v>1597.8000000000043</v>
      </c>
      <c r="N22" s="331">
        <f t="shared" si="25"/>
        <v>1835.7000000000003</v>
      </c>
      <c r="O22" s="331">
        <f t="shared" si="25"/>
        <v>883.80000000000018</v>
      </c>
      <c r="P22" s="331">
        <f t="shared" si="25"/>
        <v>1748.9999999999991</v>
      </c>
      <c r="Q22" s="331">
        <f t="shared" si="25"/>
        <v>1520.6999999999996</v>
      </c>
      <c r="R22" s="332">
        <f t="shared" si="25"/>
        <v>5989.199999999998</v>
      </c>
      <c r="S22" s="331">
        <f t="shared" si="25"/>
        <v>1870.8999999999999</v>
      </c>
      <c r="T22" s="331">
        <f t="shared" si="25"/>
        <v>161.9000000000002</v>
      </c>
      <c r="U22" s="331">
        <f t="shared" si="25"/>
        <v>1264.7999999999993</v>
      </c>
      <c r="V22" s="331">
        <f t="shared" si="25"/>
        <v>1337.2390938203303</v>
      </c>
      <c r="W22" s="332">
        <f>W6+SUM(W7:W21)</f>
        <v>4634.8390938203302</v>
      </c>
      <c r="X22" s="331">
        <f t="shared" si="25"/>
        <v>1680.0259569540042</v>
      </c>
      <c r="Y22" s="331">
        <f t="shared" si="25"/>
        <v>726.96536427930118</v>
      </c>
      <c r="Z22" s="331">
        <f t="shared" si="25"/>
        <v>1088.8867363972013</v>
      </c>
      <c r="AA22" s="331">
        <f t="shared" si="25"/>
        <v>1968.257319690382</v>
      </c>
      <c r="AB22" s="332">
        <f t="shared" si="25"/>
        <v>5464.1353773208884</v>
      </c>
      <c r="AC22" s="331">
        <f t="shared" si="25"/>
        <v>2125.6670726850425</v>
      </c>
      <c r="AD22" s="331">
        <f t="shared" si="25"/>
        <v>1020.9997674536994</v>
      </c>
      <c r="AE22" s="331">
        <f t="shared" si="25"/>
        <v>1493.6408135378347</v>
      </c>
      <c r="AF22" s="331">
        <f t="shared" si="25"/>
        <v>1950.145266979227</v>
      </c>
      <c r="AG22" s="332">
        <f t="shared" si="25"/>
        <v>6590.4529206558036</v>
      </c>
      <c r="AH22" s="331">
        <f t="shared" si="25"/>
        <v>2379.4849793357885</v>
      </c>
      <c r="AI22" s="331">
        <f t="shared" si="25"/>
        <v>1191.207663631526</v>
      </c>
      <c r="AJ22" s="331">
        <f t="shared" si="25"/>
        <v>1705.222972306419</v>
      </c>
      <c r="AK22" s="331">
        <f t="shared" si="25"/>
        <v>2306.5368303930545</v>
      </c>
      <c r="AL22" s="332">
        <f t="shared" si="25"/>
        <v>7582.4524456667878</v>
      </c>
      <c r="AM22" s="331">
        <f t="shared" si="25"/>
        <v>2691.9685158668876</v>
      </c>
      <c r="AN22" s="331">
        <f t="shared" si="25"/>
        <v>1318.6408222014225</v>
      </c>
      <c r="AO22" s="331">
        <f t="shared" si="25"/>
        <v>1845.2359782300787</v>
      </c>
      <c r="AP22" s="331">
        <f t="shared" si="25"/>
        <v>2545.0142042173707</v>
      </c>
      <c r="AQ22" s="332">
        <f t="shared" si="25"/>
        <v>8400.859520515758</v>
      </c>
      <c r="AR22" s="331">
        <f t="shared" si="25"/>
        <v>2942.4447873368772</v>
      </c>
      <c r="AS22" s="331">
        <f t="shared" si="25"/>
        <v>1440.8709315247993</v>
      </c>
      <c r="AT22" s="331">
        <f t="shared" si="25"/>
        <v>2038.8175129661145</v>
      </c>
      <c r="AU22" s="331">
        <f t="shared" si="25"/>
        <v>2694.0596394331219</v>
      </c>
      <c r="AV22" s="332">
        <f t="shared" si="25"/>
        <v>9116.1928712609115</v>
      </c>
    </row>
    <row r="23" spans="2:48" outlineLevel="1" x14ac:dyDescent="0.3">
      <c r="B23" s="451" t="s">
        <v>282</v>
      </c>
      <c r="C23" s="452"/>
      <c r="D23" s="333"/>
      <c r="E23" s="334"/>
      <c r="F23" s="334"/>
      <c r="G23" s="334"/>
      <c r="H23" s="335"/>
      <c r="I23" s="336"/>
      <c r="J23" s="336"/>
      <c r="K23" s="334"/>
      <c r="L23" s="334"/>
      <c r="M23" s="337"/>
      <c r="N23" s="334"/>
      <c r="O23" s="334"/>
      <c r="P23" s="334"/>
      <c r="Q23" s="334"/>
      <c r="R23" s="337"/>
      <c r="S23" s="334"/>
      <c r="T23" s="334"/>
      <c r="U23" s="334"/>
      <c r="V23" s="334"/>
      <c r="W23" s="337"/>
      <c r="X23" s="334"/>
      <c r="Y23" s="334"/>
      <c r="Z23" s="334"/>
      <c r="AA23" s="334"/>
      <c r="AB23" s="337"/>
      <c r="AC23" s="334"/>
      <c r="AD23" s="334"/>
      <c r="AE23" s="334"/>
      <c r="AF23" s="334"/>
      <c r="AG23" s="337"/>
      <c r="AH23" s="334"/>
      <c r="AI23" s="334"/>
      <c r="AJ23" s="334"/>
      <c r="AK23" s="334"/>
      <c r="AL23" s="337"/>
      <c r="AM23" s="334"/>
      <c r="AN23" s="334"/>
      <c r="AO23" s="334"/>
      <c r="AP23" s="334"/>
      <c r="AQ23" s="337"/>
      <c r="AR23" s="334"/>
      <c r="AS23" s="334"/>
      <c r="AT23" s="334"/>
      <c r="AU23" s="334"/>
      <c r="AV23" s="337"/>
    </row>
    <row r="24" spans="2:48" outlineLevel="1" x14ac:dyDescent="0.3">
      <c r="B24" s="200" t="s">
        <v>283</v>
      </c>
      <c r="C24" s="201"/>
      <c r="D24" s="16">
        <f>-108.7+32.1+14.2</f>
        <v>-62.399999999999991</v>
      </c>
      <c r="E24" s="16">
        <f>-150.2+218.3+55.1-D24</f>
        <v>185.60000000000002</v>
      </c>
      <c r="F24" s="16">
        <f>-176.3+281.7+57.5-E24-D24</f>
        <v>39.699999999999946</v>
      </c>
      <c r="G24" s="16">
        <f>-190.4+298.3+59.8-F24-E24-D24</f>
        <v>4.8000000000000256</v>
      </c>
      <c r="H24" s="17">
        <f>SUM(D24:G24)</f>
        <v>167.7</v>
      </c>
      <c r="I24" s="16">
        <f>-38+64.6+1.3</f>
        <v>27.899999999999995</v>
      </c>
      <c r="J24" s="16">
        <f>-65.1+93.7+4.3-I24</f>
        <v>5.0000000000000107</v>
      </c>
      <c r="K24" s="16">
        <f>-297.4+133.5+10-J24-I24</f>
        <v>-186.79999999999998</v>
      </c>
      <c r="L24" s="16">
        <f>-443.9+186.7+73.7-K24-J24-I24</f>
        <v>-29.600000000000023</v>
      </c>
      <c r="M24" s="17">
        <f>SUM(I24:L24)</f>
        <v>-183.5</v>
      </c>
      <c r="N24" s="16">
        <f>-135.5+91.2+113.7</f>
        <v>69.400000000000006</v>
      </c>
      <c r="O24" s="16">
        <f>-321.7+121.7+289-N24</f>
        <v>19.599999999999994</v>
      </c>
      <c r="P24" s="16">
        <f>-367.3+130.4+298.7-O24-N24</f>
        <v>-27.200000000000017</v>
      </c>
      <c r="Q24" s="16">
        <f>-432+143.2+345.5-P24-O24-N24</f>
        <v>-5.0999999999999943</v>
      </c>
      <c r="R24" s="17">
        <f>SUM(N24:Q24)</f>
        <v>56.699999999999989</v>
      </c>
      <c r="S24" s="16">
        <f>-61+72.6+45.6</f>
        <v>57.199999999999996</v>
      </c>
      <c r="T24" s="16">
        <f>-67.5+72.6+55.7-S24</f>
        <v>3.6000000000000014</v>
      </c>
      <c r="U24" s="16">
        <f>-117.3+72.6+59.5-T24-S24</f>
        <v>-46</v>
      </c>
      <c r="V24" s="16">
        <f>-('BS (Bull-Case)'!V7-'BS (Bull-Case)'!U7)-('BS (Bull-Case)'!V12-'BS (Bull-Case)'!U12)</f>
        <v>-4.1259993581648757</v>
      </c>
      <c r="W24" s="17">
        <f>SUM(S24:V24)</f>
        <v>10.674000641835121</v>
      </c>
      <c r="X24" s="16">
        <f>-('BS (Bull-Case)'!X7-'BS (Bull-Case)'!V7)-('BS (Bull-Case)'!X12-'BS (Bull-Case)'!V12)</f>
        <v>-4.6875065832198715</v>
      </c>
      <c r="Y24" s="16">
        <f>-('BS (Bull-Case)'!Y7-'BS (Bull-Case)'!X7)-('BS (Bull-Case)'!Y12-'BS (Bull-Case)'!X12)</f>
        <v>3.7927591340042426</v>
      </c>
      <c r="Z24" s="16">
        <f>-('BS (Bull-Case)'!Z7-'BS (Bull-Case)'!Y7)-('BS (Bull-Case)'!Z12-'BS (Bull-Case)'!Y12)</f>
        <v>-11.466508340337413</v>
      </c>
      <c r="AA24" s="16">
        <f>-('BS (Bull-Case)'!AA7-'BS (Bull-Case)'!Z7)-('BS (Bull-Case)'!AA12-'BS (Bull-Case)'!Z12)</f>
        <v>-4.4626833477393575</v>
      </c>
      <c r="AB24" s="17">
        <f>SUM(X24:AA24)</f>
        <v>-16.823939137292399</v>
      </c>
      <c r="AC24" s="16">
        <f>-('BS (Bull-Case)'!AC7-'BS (Bull-Case)'!AA7)-('BS (Bull-Case)'!AC12-'BS (Bull-Case)'!AA12)</f>
        <v>-14.537582835041547</v>
      </c>
      <c r="AD24" s="16">
        <f>-('BS (Bull-Case)'!AD7-'BS (Bull-Case)'!AC7)-('BS (Bull-Case)'!AD12-'BS (Bull-Case)'!AC12)</f>
        <v>7.5927453395422617E-2</v>
      </c>
      <c r="AE24" s="16">
        <f>-('BS (Bull-Case)'!AE7-'BS (Bull-Case)'!AD7)-('BS (Bull-Case)'!AE12-'BS (Bull-Case)'!AD12)</f>
        <v>-9.9521357591818997</v>
      </c>
      <c r="AF24" s="16">
        <f>-('BS (Bull-Case)'!AF7-'BS (Bull-Case)'!AE7)-('BS (Bull-Case)'!AF12-'BS (Bull-Case)'!AE12)</f>
        <v>-5.8604831501547636</v>
      </c>
      <c r="AG24" s="17">
        <f>SUM(AC24:AF24)</f>
        <v>-30.274274290982788</v>
      </c>
      <c r="AH24" s="16">
        <f>-('BS (Bull-Case)'!AH7-'BS (Bull-Case)'!AF7)-('BS (Bull-Case)'!AH12-'BS (Bull-Case)'!AF12)</f>
        <v>-17.35556803388593</v>
      </c>
      <c r="AI24" s="16">
        <f>-('BS (Bull-Case)'!AI7-'BS (Bull-Case)'!AH7)-('BS (Bull-Case)'!AI12-'BS (Bull-Case)'!AH12)</f>
        <v>-0.83617618160216978</v>
      </c>
      <c r="AJ24" s="16">
        <f>-('BS (Bull-Case)'!AJ7-'BS (Bull-Case)'!AI7)-('BS (Bull-Case)'!AJ12-'BS (Bull-Case)'!AI12)</f>
        <v>-16.383447972390016</v>
      </c>
      <c r="AK24" s="16">
        <f>-('BS (Bull-Case)'!AK7-'BS (Bull-Case)'!AJ7)-('BS (Bull-Case)'!AK12-'BS (Bull-Case)'!AJ12)</f>
        <v>41.015663782381594</v>
      </c>
      <c r="AL24" s="17">
        <f>SUM(AH24:AK24)</f>
        <v>6.4404715945034781</v>
      </c>
      <c r="AM24" s="16">
        <f>-('BS (Bull-Case)'!AM7-'BS (Bull-Case)'!AK7)-('BS (Bull-Case)'!AM12-'BS (Bull-Case)'!AK12)</f>
        <v>-16.571957679673503</v>
      </c>
      <c r="AN24" s="16">
        <f>-('BS (Bull-Case)'!AN7-'BS (Bull-Case)'!AM7)-('BS (Bull-Case)'!AN12-'BS (Bull-Case)'!AM12)</f>
        <v>1.3051790328957225</v>
      </c>
      <c r="AO24" s="16">
        <f>-('BS (Bull-Case)'!AO7-'BS (Bull-Case)'!AN7)-('BS (Bull-Case)'!AO12-'BS (Bull-Case)'!AN12)</f>
        <v>-12.86127204859875</v>
      </c>
      <c r="AP24" s="16">
        <f>-('BS (Bull-Case)'!AP7-'BS (Bull-Case)'!AO7)-('BS (Bull-Case)'!AP12-'BS (Bull-Case)'!AO12)</f>
        <v>-6.3646619732894436</v>
      </c>
      <c r="AQ24" s="17">
        <f>SUM(AM24:AP24)</f>
        <v>-34.492712668665973</v>
      </c>
      <c r="AR24" s="16">
        <f>-('BS (Bull-Case)'!AR7-'BS (Bull-Case)'!AP7)-('BS (Bull-Case)'!AR12-'BS (Bull-Case)'!AP12)</f>
        <v>-18.571451863964356</v>
      </c>
      <c r="AS24" s="16">
        <f>-('BS (Bull-Case)'!AS7-'BS (Bull-Case)'!AR7)-('BS (Bull-Case)'!AS12-'BS (Bull-Case)'!AR12)</f>
        <v>0.43068997457086766</v>
      </c>
      <c r="AT24" s="16">
        <f>-('BS (Bull-Case)'!AT7-'BS (Bull-Case)'!AS7)-('BS (Bull-Case)'!AT12-'BS (Bull-Case)'!AS12)</f>
        <v>-14.364879308109295</v>
      </c>
      <c r="AU24" s="16">
        <f>-('BS (Bull-Case)'!AU7-'BS (Bull-Case)'!AT7)-('BS (Bull-Case)'!AU12-'BS (Bull-Case)'!AT12)</f>
        <v>-7.7419512721761521</v>
      </c>
      <c r="AV24" s="17">
        <f>SUM(AR24:AU24)</f>
        <v>-40.247592469678935</v>
      </c>
    </row>
    <row r="25" spans="2:48" outlineLevel="1" x14ac:dyDescent="0.3">
      <c r="B25" s="435" t="s">
        <v>284</v>
      </c>
      <c r="C25" s="436"/>
      <c r="D25" s="16">
        <v>-431.4</v>
      </c>
      <c r="E25" s="16">
        <f>-845.6-D25</f>
        <v>-414.20000000000005</v>
      </c>
      <c r="F25" s="16">
        <f>-1280.7-E25-D25</f>
        <v>-435.1</v>
      </c>
      <c r="G25" s="16">
        <f>-1806.6-F25-E25-D25</f>
        <v>-525.9</v>
      </c>
      <c r="H25" s="169">
        <f>SUM(D25:G25)</f>
        <v>-1806.6</v>
      </c>
      <c r="I25" s="16">
        <v>-394.3</v>
      </c>
      <c r="J25" s="16">
        <f>-758.3-I25</f>
        <v>-363.99999999999994</v>
      </c>
      <c r="K25" s="16">
        <f>-1138.4-J25-I25</f>
        <v>-380.10000000000008</v>
      </c>
      <c r="L25" s="16">
        <f>-1483.6-K25-J25-I25</f>
        <v>-345.19999999999976</v>
      </c>
      <c r="M25" s="169">
        <f>SUM(I25:L25)</f>
        <v>-1483.6</v>
      </c>
      <c r="N25" s="16">
        <v>-324.2</v>
      </c>
      <c r="O25" s="16">
        <f>-647.9-N25</f>
        <v>-323.7</v>
      </c>
      <c r="P25" s="16">
        <f>-985.7-O25-N25</f>
        <v>-337.8</v>
      </c>
      <c r="Q25" s="16">
        <f>-1470-P25-O25-N25</f>
        <v>-484.3</v>
      </c>
      <c r="R25" s="169">
        <f>SUM(N25:Q25)</f>
        <v>-1470</v>
      </c>
      <c r="S25" s="16">
        <v>-416.8</v>
      </c>
      <c r="T25" s="16">
        <f>-871.9-S25</f>
        <v>-455.09999999999997</v>
      </c>
      <c r="U25" s="16">
        <f>-1295.4-T25-S25</f>
        <v>-423.50000000000017</v>
      </c>
      <c r="V25" s="16">
        <f>-'IS (Bull-Case)'!V8*V56</f>
        <v>-487.54168746488921</v>
      </c>
      <c r="W25" s="169">
        <f>SUM(S25:V25)</f>
        <v>-1782.9416874648894</v>
      </c>
      <c r="X25" s="16">
        <f>-'IS (Bull-Case)'!X8*X56</f>
        <v>-668.75082644832901</v>
      </c>
      <c r="Y25" s="16">
        <f>-'IS (Bull-Case)'!Y8*Y56</f>
        <v>-647.39838698316714</v>
      </c>
      <c r="Z25" s="16">
        <f>-'IS (Bull-Case)'!Z8*Z56</f>
        <v>-709.04914680477452</v>
      </c>
      <c r="AA25" s="16">
        <f>-'IS (Bull-Case)'!AA8*AA56</f>
        <v>-724.80163976372921</v>
      </c>
      <c r="AB25" s="419">
        <f>SUM(X25:AA25)</f>
        <v>-2750</v>
      </c>
      <c r="AC25" s="16">
        <f>-'IS (Bull-Case)'!AC8*AC56</f>
        <v>-679.96137622433776</v>
      </c>
      <c r="AD25" s="16">
        <f>-'IS (Bull-Case)'!AD8*AD56</f>
        <v>-642.97365126347393</v>
      </c>
      <c r="AE25" s="16">
        <f>-'IS (Bull-Case)'!AE8*AE56</f>
        <v>-704.76888741226651</v>
      </c>
      <c r="AF25" s="16">
        <f>-'IS (Bull-Case)'!AF8*AF56</f>
        <v>-722.29608509992113</v>
      </c>
      <c r="AG25" s="419">
        <f>SUM(AC25:AF25)</f>
        <v>-2749.9999999999991</v>
      </c>
      <c r="AH25" s="16">
        <f>-'IS (Bull-Case)'!AH8*AH56</f>
        <v>-679.78003250657491</v>
      </c>
      <c r="AI25" s="16">
        <f>-'IS (Bull-Case)'!AI8*AI56</f>
        <v>-642.39557466404756</v>
      </c>
      <c r="AJ25" s="16">
        <f>-'IS (Bull-Case)'!AJ8*AJ56</f>
        <v>-704.55129843631266</v>
      </c>
      <c r="AK25" s="16">
        <f>-'IS (Bull-Case)'!AK8*AK56</f>
        <v>-723.27309439306396</v>
      </c>
      <c r="AL25" s="419">
        <f>SUM(AH25:AK25)</f>
        <v>-2749.9999999999991</v>
      </c>
      <c r="AM25" s="16">
        <f>-'IS (Bull-Case)'!AM8*AM56</f>
        <v>-747.54572690693033</v>
      </c>
      <c r="AN25" s="16">
        <f>-'IS (Bull-Case)'!AN8*AN56</f>
        <v>-702.95106298011933</v>
      </c>
      <c r="AO25" s="16">
        <f>-'IS (Bull-Case)'!AO8*AO56</f>
        <v>-768.22600919433262</v>
      </c>
      <c r="AP25" s="16">
        <f>-'IS (Bull-Case)'!AP8*AP56</f>
        <v>-786.34217401956118</v>
      </c>
      <c r="AQ25" s="17">
        <f>SUM(AM25:AP25)</f>
        <v>-3005.0649731009435</v>
      </c>
      <c r="AR25" s="16">
        <f>-'IS (Bull-Case)'!AR8*AR56</f>
        <v>-796.13975738012653</v>
      </c>
      <c r="AS25" s="16">
        <f>-'IS (Bull-Case)'!AS8*AS56</f>
        <v>-748.1137983083338</v>
      </c>
      <c r="AT25" s="16">
        <f>-'IS (Bull-Case)'!AT8*AT56</f>
        <v>-817.41330182098238</v>
      </c>
      <c r="AU25" s="16">
        <f>-'IS (Bull-Case)'!AU8*AU56</f>
        <v>-836.91461919342396</v>
      </c>
      <c r="AV25" s="17">
        <f>SUM(AR25:AU25)</f>
        <v>-3198.5814767028669</v>
      </c>
    </row>
    <row r="26" spans="2:48" ht="16.2" outlineLevel="1" x14ac:dyDescent="0.45">
      <c r="B26" s="435" t="s">
        <v>285</v>
      </c>
      <c r="C26" s="436"/>
      <c r="D26" s="260">
        <v>-16.600000000000001</v>
      </c>
      <c r="E26" s="260">
        <f>48.5-37.1-D26</f>
        <v>28</v>
      </c>
      <c r="F26" s="260">
        <f>684.2-72.9-E26-D26</f>
        <v>599.90000000000009</v>
      </c>
      <c r="G26" s="260">
        <f>684.3-56.2-F26-E26-D26</f>
        <v>16.79999999999982</v>
      </c>
      <c r="H26" s="261">
        <f>SUM(D26:G26)</f>
        <v>628.09999999999991</v>
      </c>
      <c r="I26" s="260">
        <v>-19.899999999999999</v>
      </c>
      <c r="J26" s="260">
        <f>-22.5-I26</f>
        <v>-2.6000000000000014</v>
      </c>
      <c r="K26" s="260">
        <f>-39.4-J26-I26</f>
        <v>-16.899999999999999</v>
      </c>
      <c r="L26" s="260">
        <f>-44.4-K26-J26-I26</f>
        <v>-5</v>
      </c>
      <c r="M26" s="261">
        <f>SUM(I26:L26)</f>
        <v>-44.4</v>
      </c>
      <c r="N26" s="260">
        <v>-17.7</v>
      </c>
      <c r="O26" s="260">
        <f>-20.1-N26</f>
        <v>-2.4000000000000021</v>
      </c>
      <c r="P26" s="260">
        <f>-62.3-O26-N26</f>
        <v>-42.199999999999989</v>
      </c>
      <c r="Q26" s="260">
        <f>1175-81.2-P26-O26-N26</f>
        <v>1156.1000000000001</v>
      </c>
      <c r="R26" s="261">
        <f>SUM(N26:Q26)</f>
        <v>1093.8000000000002</v>
      </c>
      <c r="S26" s="260">
        <v>-41.4</v>
      </c>
      <c r="T26" s="260">
        <f>-69.8-S26</f>
        <v>-28.4</v>
      </c>
      <c r="U26" s="260">
        <f>-95.7-T26-S26</f>
        <v>-25.900000000000013</v>
      </c>
      <c r="V26" s="260">
        <f>-('BS (Bull-Case)'!V13-'BS (Bull-Case)'!U13)-('BS (Bull-Case)'!V17-'BS (Bull-Case)'!U17)-('BS (Bull-Case)'!V15-'BS (Bull-Case)'!U15)+('BS (Bull-Case)'!V32-'BS (Bull-Case)'!U32)-('BS (Bull-Case)'!V18-'BS (Bull-Case)'!U18)-('BS (Bull-Case)'!V19-'BS (Bull-Case)'!U19)</f>
        <v>21.646156080834032</v>
      </c>
      <c r="W26" s="261">
        <f>SUM(S26:V26)</f>
        <v>-74.053843919165985</v>
      </c>
      <c r="X26" s="260">
        <f>-('BS (Bull-Case)'!X13-'BS (Bull-Case)'!V13)-('BS (Bull-Case)'!X17-'BS (Bull-Case)'!V17)-('BS (Bull-Case)'!X15-'BS (Bull-Case)'!V15)+('BS (Bull-Case)'!X32-'BS (Bull-Case)'!V32)-('BS (Bull-Case)'!X18-'BS (Bull-Case)'!V18)-('BS (Bull-Case)'!X19-'BS (Bull-Case)'!V19)</f>
        <v>-0.95635475619735644</v>
      </c>
      <c r="Y26" s="260">
        <f>-('BS (Bull-Case)'!Y13-'BS (Bull-Case)'!X13)-('BS (Bull-Case)'!Y17-'BS (Bull-Case)'!X17)-('BS (Bull-Case)'!Y15-'BS (Bull-Case)'!X15)+('BS (Bull-Case)'!Y32-'BS (Bull-Case)'!X32)-('BS (Bull-Case)'!Y18-'BS (Bull-Case)'!X18)-('BS (Bull-Case)'!Y19-'BS (Bull-Case)'!X19)</f>
        <v>18.728352085679461</v>
      </c>
      <c r="Z26" s="260">
        <f>-('BS (Bull-Case)'!Z13-'BS (Bull-Case)'!Y13)-('BS (Bull-Case)'!Z17-'BS (Bull-Case)'!Y17)-('BS (Bull-Case)'!Z15-'BS (Bull-Case)'!Y15)+('BS (Bull-Case)'!Z32-'BS (Bull-Case)'!Y32)-('BS (Bull-Case)'!Z18-'BS (Bull-Case)'!Y18)-('BS (Bull-Case)'!Z19-'BS (Bull-Case)'!Y19)</f>
        <v>-0.33368658455617606</v>
      </c>
      <c r="AA26" s="260">
        <f>-('BS (Bull-Case)'!AA13-'BS (Bull-Case)'!Z13)-('BS (Bull-Case)'!AA17-'BS (Bull-Case)'!Z17)-('BS (Bull-Case)'!AA15-'BS (Bull-Case)'!Z15)+('BS (Bull-Case)'!AA32-'BS (Bull-Case)'!Z32)-('BS (Bull-Case)'!AA18-'BS (Bull-Case)'!Z18)-('BS (Bull-Case)'!AA19-'BS (Bull-Case)'!Z19)</f>
        <v>6.4274467862735776</v>
      </c>
      <c r="AB26" s="261">
        <f>SUM(X26:AA26)</f>
        <v>23.865757531199506</v>
      </c>
      <c r="AC26" s="260">
        <f>-('BS (Bull-Case)'!AC13-'BS (Bull-Case)'!AA13)-('BS (Bull-Case)'!AC17-'BS (Bull-Case)'!AA17)-('BS (Bull-Case)'!AC15-'BS (Bull-Case)'!AA15)+('BS (Bull-Case)'!AC32-'BS (Bull-Case)'!AA32)-('BS (Bull-Case)'!AC18-'BS (Bull-Case)'!AA18)-('BS (Bull-Case)'!AC19-'BS (Bull-Case)'!AA19)</f>
        <v>-14.6338302635167</v>
      </c>
      <c r="AD26" s="260">
        <f>-('BS (Bull-Case)'!AD13-'BS (Bull-Case)'!AC13)-('BS (Bull-Case)'!AD17-'BS (Bull-Case)'!AC17)-('BS (Bull-Case)'!AD15-'BS (Bull-Case)'!AC15)+('BS (Bull-Case)'!AD32-'BS (Bull-Case)'!AC32)-('BS (Bull-Case)'!AD18-'BS (Bull-Case)'!AC18)-('BS (Bull-Case)'!AD19-'BS (Bull-Case)'!AC19)</f>
        <v>11.870478134068037</v>
      </c>
      <c r="AE26" s="260">
        <f>-('BS (Bull-Case)'!AE13-'BS (Bull-Case)'!AD13)-('BS (Bull-Case)'!AE17-'BS (Bull-Case)'!AD17)-('BS (Bull-Case)'!AE15-'BS (Bull-Case)'!AD15)+('BS (Bull-Case)'!AE32-'BS (Bull-Case)'!AD32)-('BS (Bull-Case)'!AE18-'BS (Bull-Case)'!AD18)-('BS (Bull-Case)'!AE19-'BS (Bull-Case)'!AD19)</f>
        <v>-5.3301988715439563</v>
      </c>
      <c r="AF26" s="260">
        <f>-('BS (Bull-Case)'!AF13-'BS (Bull-Case)'!AE13)-('BS (Bull-Case)'!AF17-'BS (Bull-Case)'!AE17)-('BS (Bull-Case)'!AF15-'BS (Bull-Case)'!AE15)+('BS (Bull-Case)'!AF32-'BS (Bull-Case)'!AE32)-('BS (Bull-Case)'!AF18-'BS (Bull-Case)'!AE18)-('BS (Bull-Case)'!AF19-'BS (Bull-Case)'!AE19)</f>
        <v>-7.8783745603573152E-2</v>
      </c>
      <c r="AG26" s="261">
        <f>SUM(AC26:AF26)</f>
        <v>-8.1723347465961922</v>
      </c>
      <c r="AH26" s="260">
        <f>-('BS (Bull-Case)'!AH13-'BS (Bull-Case)'!AF13)-('BS (Bull-Case)'!AH17-'BS (Bull-Case)'!AF17)-('BS (Bull-Case)'!AH15-'BS (Bull-Case)'!AF15)+('BS (Bull-Case)'!AH32-'BS (Bull-Case)'!AF32)-('BS (Bull-Case)'!AH18-'BS (Bull-Case)'!AF18)-('BS (Bull-Case)'!AH19-'BS (Bull-Case)'!AF19)</f>
        <v>-20.86015744825022</v>
      </c>
      <c r="AI26" s="260">
        <f>-('BS (Bull-Case)'!AI13-'BS (Bull-Case)'!AH13)-('BS (Bull-Case)'!AI17-'BS (Bull-Case)'!AH17)-('BS (Bull-Case)'!AI15-'BS (Bull-Case)'!AH15)+('BS (Bull-Case)'!AI32-'BS (Bull-Case)'!AH32)-('BS (Bull-Case)'!AI18-'BS (Bull-Case)'!AH18)-('BS (Bull-Case)'!AI19-'BS (Bull-Case)'!AH19)</f>
        <v>7.5889125759319001</v>
      </c>
      <c r="AJ26" s="260">
        <f>-('BS (Bull-Case)'!AJ13-'BS (Bull-Case)'!AI13)-('BS (Bull-Case)'!AJ17-'BS (Bull-Case)'!AI17)-('BS (Bull-Case)'!AJ15-'BS (Bull-Case)'!AI15)+('BS (Bull-Case)'!AJ32-'BS (Bull-Case)'!AI32)-('BS (Bull-Case)'!AJ18-'BS (Bull-Case)'!AI18)-('BS (Bull-Case)'!AJ19-'BS (Bull-Case)'!AI19)</f>
        <v>-19.858111461754149</v>
      </c>
      <c r="AK26" s="260">
        <f>-('BS (Bull-Case)'!AK13-'BS (Bull-Case)'!AJ13)-('BS (Bull-Case)'!AK17-'BS (Bull-Case)'!AJ17)-('BS (Bull-Case)'!AK15-'BS (Bull-Case)'!AJ15)+('BS (Bull-Case)'!AK32-'BS (Bull-Case)'!AJ32)-('BS (Bull-Case)'!AK18-'BS (Bull-Case)'!AJ18)-('BS (Bull-Case)'!AK19-'BS (Bull-Case)'!AJ19)</f>
        <v>78.737560075776557</v>
      </c>
      <c r="AL26" s="261">
        <f>SUM(AH26:AK26)</f>
        <v>45.608203741704088</v>
      </c>
      <c r="AM26" s="260">
        <f>-('BS (Bull-Case)'!AM13-'BS (Bull-Case)'!AK13)-('BS (Bull-Case)'!AM17-'BS (Bull-Case)'!AK17)-('BS (Bull-Case)'!AM15-'BS (Bull-Case)'!AK15)+('BS (Bull-Case)'!AM32-'BS (Bull-Case)'!AK32)-('BS (Bull-Case)'!AM18-'BS (Bull-Case)'!AK18)-('BS (Bull-Case)'!AM19-'BS (Bull-Case)'!AK19)</f>
        <v>-21.391765626042492</v>
      </c>
      <c r="AN26" s="260">
        <f>-('BS (Bull-Case)'!AN13-'BS (Bull-Case)'!AM13)-('BS (Bull-Case)'!AN17-'BS (Bull-Case)'!AM17)-('BS (Bull-Case)'!AN15-'BS (Bull-Case)'!AM15)+('BS (Bull-Case)'!AN32-'BS (Bull-Case)'!AM32)-('BS (Bull-Case)'!AN18-'BS (Bull-Case)'!AM18)-('BS (Bull-Case)'!AN19-'BS (Bull-Case)'!AM19)</f>
        <v>9.1823971460149565</v>
      </c>
      <c r="AO26" s="260">
        <f>-('BS (Bull-Case)'!AO13-'BS (Bull-Case)'!AN13)-('BS (Bull-Case)'!AO17-'BS (Bull-Case)'!AN17)-('BS (Bull-Case)'!AO15-'BS (Bull-Case)'!AN15)+('BS (Bull-Case)'!AO32-'BS (Bull-Case)'!AN32)-('BS (Bull-Case)'!AO18-'BS (Bull-Case)'!AN18)-('BS (Bull-Case)'!AO19-'BS (Bull-Case)'!AN19)</f>
        <v>-15.768132577062666</v>
      </c>
      <c r="AP26" s="260">
        <f>-('BS (Bull-Case)'!AP13-'BS (Bull-Case)'!AO13)-('BS (Bull-Case)'!AP17-'BS (Bull-Case)'!AO17)-('BS (Bull-Case)'!AP15-'BS (Bull-Case)'!AO15)+('BS (Bull-Case)'!AP32-'BS (Bull-Case)'!AO32)-('BS (Bull-Case)'!AP18-'BS (Bull-Case)'!AO18)-('BS (Bull-Case)'!AP19-'BS (Bull-Case)'!AO19)</f>
        <v>-4.9364259132279429</v>
      </c>
      <c r="AQ26" s="261">
        <f>SUM(AM26:AP26)</f>
        <v>-32.913926970318144</v>
      </c>
      <c r="AR26" s="260">
        <f>-('BS (Bull-Case)'!AR13-'BS (Bull-Case)'!AP13)-('BS (Bull-Case)'!AR17-'BS (Bull-Case)'!AP17)-('BS (Bull-Case)'!AR15-'BS (Bull-Case)'!AP15)+('BS (Bull-Case)'!AR32-'BS (Bull-Case)'!AP32)-('BS (Bull-Case)'!AR18-'BS (Bull-Case)'!AP18)-('BS (Bull-Case)'!AR19-'BS (Bull-Case)'!AP19)</f>
        <v>-26.40064274254965</v>
      </c>
      <c r="AS26" s="260">
        <f>-('BS (Bull-Case)'!AS13-'BS (Bull-Case)'!AR13)-('BS (Bull-Case)'!AS17-'BS (Bull-Case)'!AR17)-('BS (Bull-Case)'!AS15-'BS (Bull-Case)'!AR15)+('BS (Bull-Case)'!AS32-'BS (Bull-Case)'!AR32)-('BS (Bull-Case)'!AS18-'BS (Bull-Case)'!AR18)-('BS (Bull-Case)'!AS19-'BS (Bull-Case)'!AR19)</f>
        <v>6.1773223779153241</v>
      </c>
      <c r="AT26" s="260">
        <f>-('BS (Bull-Case)'!AT13-'BS (Bull-Case)'!AS13)-('BS (Bull-Case)'!AT17-'BS (Bull-Case)'!AS17)-('BS (Bull-Case)'!AT15-'BS (Bull-Case)'!AS15)+('BS (Bull-Case)'!AT32-'BS (Bull-Case)'!AS32)-('BS (Bull-Case)'!AT18-'BS (Bull-Case)'!AS18)-('BS (Bull-Case)'!AT19-'BS (Bull-Case)'!AS19)</f>
        <v>-19.735498723452999</v>
      </c>
      <c r="AU26" s="260">
        <f>-('BS (Bull-Case)'!AU13-'BS (Bull-Case)'!AT13)-('BS (Bull-Case)'!AU17-'BS (Bull-Case)'!AT17)-('BS (Bull-Case)'!AU15-'BS (Bull-Case)'!AT15)+('BS (Bull-Case)'!AU32-'BS (Bull-Case)'!AT32)-('BS (Bull-Case)'!AU18-'BS (Bull-Case)'!AT18)-('BS (Bull-Case)'!AU19-'BS (Bull-Case)'!AT19)</f>
        <v>-8.550802955403995</v>
      </c>
      <c r="AV26" s="261">
        <f>SUM(AR26:AU26)</f>
        <v>-48.509622043491319</v>
      </c>
    </row>
    <row r="27" spans="2:48" outlineLevel="1" x14ac:dyDescent="0.3">
      <c r="B27" s="445" t="s">
        <v>286</v>
      </c>
      <c r="C27" s="446"/>
      <c r="D27" s="21">
        <f t="shared" ref="D27:AV27" si="26">SUM(D24:D26)</f>
        <v>-510.4</v>
      </c>
      <c r="E27" s="21">
        <f t="shared" si="26"/>
        <v>-200.60000000000002</v>
      </c>
      <c r="F27" s="21">
        <f t="shared" si="26"/>
        <v>204.5</v>
      </c>
      <c r="G27" s="21">
        <f t="shared" si="26"/>
        <v>-504.30000000000007</v>
      </c>
      <c r="H27" s="22">
        <f t="shared" si="26"/>
        <v>-1010.8</v>
      </c>
      <c r="I27" s="21">
        <f t="shared" si="26"/>
        <v>-386.3</v>
      </c>
      <c r="J27" s="21">
        <f t="shared" si="26"/>
        <v>-361.59999999999997</v>
      </c>
      <c r="K27" s="21">
        <f t="shared" si="26"/>
        <v>-583.80000000000007</v>
      </c>
      <c r="L27" s="21">
        <f t="shared" si="26"/>
        <v>-379.79999999999978</v>
      </c>
      <c r="M27" s="22">
        <f t="shared" si="26"/>
        <v>-1711.5</v>
      </c>
      <c r="N27" s="21">
        <f t="shared" si="26"/>
        <v>-272.5</v>
      </c>
      <c r="O27" s="21">
        <f t="shared" si="26"/>
        <v>-306.5</v>
      </c>
      <c r="P27" s="21">
        <f t="shared" si="26"/>
        <v>-407.2</v>
      </c>
      <c r="Q27" s="21">
        <f t="shared" si="26"/>
        <v>666.70000000000016</v>
      </c>
      <c r="R27" s="22">
        <f t="shared" si="26"/>
        <v>-319.49999999999977</v>
      </c>
      <c r="S27" s="21">
        <f t="shared" si="26"/>
        <v>-401</v>
      </c>
      <c r="T27" s="21">
        <f t="shared" si="26"/>
        <v>-479.89999999999992</v>
      </c>
      <c r="U27" s="21">
        <f t="shared" si="26"/>
        <v>-495.4000000000002</v>
      </c>
      <c r="V27" s="21">
        <f t="shared" si="26"/>
        <v>-470.02153074222002</v>
      </c>
      <c r="W27" s="22">
        <f t="shared" si="26"/>
        <v>-1846.3215307422201</v>
      </c>
      <c r="X27" s="21">
        <f t="shared" si="26"/>
        <v>-674.39468778774619</v>
      </c>
      <c r="Y27" s="21">
        <f t="shared" si="26"/>
        <v>-624.87727576348345</v>
      </c>
      <c r="Z27" s="21">
        <f t="shared" si="26"/>
        <v>-720.84934172966814</v>
      </c>
      <c r="AA27" s="21">
        <f t="shared" si="26"/>
        <v>-722.83687632519502</v>
      </c>
      <c r="AB27" s="22">
        <f t="shared" si="26"/>
        <v>-2742.9581816060927</v>
      </c>
      <c r="AC27" s="21">
        <f t="shared" si="26"/>
        <v>-709.13278932289609</v>
      </c>
      <c r="AD27" s="21">
        <f t="shared" si="26"/>
        <v>-631.02724567601058</v>
      </c>
      <c r="AE27" s="21">
        <f t="shared" si="26"/>
        <v>-720.05122204299244</v>
      </c>
      <c r="AF27" s="21">
        <f t="shared" si="26"/>
        <v>-728.23535199567948</v>
      </c>
      <c r="AG27" s="22">
        <f t="shared" si="26"/>
        <v>-2788.4466090375781</v>
      </c>
      <c r="AH27" s="21">
        <f t="shared" si="26"/>
        <v>-717.99575798871103</v>
      </c>
      <c r="AI27" s="21">
        <f t="shared" si="26"/>
        <v>-635.6428382697178</v>
      </c>
      <c r="AJ27" s="21">
        <f t="shared" si="26"/>
        <v>-740.79285787045683</v>
      </c>
      <c r="AK27" s="21">
        <f t="shared" si="26"/>
        <v>-603.51987053490586</v>
      </c>
      <c r="AL27" s="22">
        <f t="shared" si="26"/>
        <v>-2697.9513246637916</v>
      </c>
      <c r="AM27" s="21">
        <f t="shared" si="26"/>
        <v>-785.50945021264624</v>
      </c>
      <c r="AN27" s="21">
        <f t="shared" si="26"/>
        <v>-692.46348680120866</v>
      </c>
      <c r="AO27" s="21">
        <f t="shared" si="26"/>
        <v>-796.85541381999406</v>
      </c>
      <c r="AP27" s="21">
        <f t="shared" si="26"/>
        <v>-797.64326190607858</v>
      </c>
      <c r="AQ27" s="22">
        <f t="shared" si="26"/>
        <v>-3072.4716127399279</v>
      </c>
      <c r="AR27" s="21">
        <f t="shared" si="26"/>
        <v>-841.11185198664054</v>
      </c>
      <c r="AS27" s="21">
        <f t="shared" si="26"/>
        <v>-741.50578595584761</v>
      </c>
      <c r="AT27" s="21">
        <f t="shared" si="26"/>
        <v>-851.51367985254467</v>
      </c>
      <c r="AU27" s="21">
        <f t="shared" si="26"/>
        <v>-853.20737342100415</v>
      </c>
      <c r="AV27" s="22">
        <f t="shared" si="26"/>
        <v>-3287.3386912160372</v>
      </c>
    </row>
    <row r="28" spans="2:48" outlineLevel="1" x14ac:dyDescent="0.3">
      <c r="B28" s="489" t="s">
        <v>287</v>
      </c>
      <c r="C28" s="490"/>
      <c r="D28" s="321"/>
      <c r="E28" s="323"/>
      <c r="F28" s="323"/>
      <c r="G28" s="323"/>
      <c r="H28" s="324"/>
      <c r="I28" s="323"/>
      <c r="J28" s="323"/>
      <c r="K28" s="323"/>
      <c r="L28" s="323"/>
      <c r="M28" s="324"/>
      <c r="N28" s="323"/>
      <c r="O28" s="323"/>
      <c r="P28" s="323"/>
      <c r="Q28" s="323"/>
      <c r="R28" s="324"/>
      <c r="S28" s="323"/>
      <c r="T28" s="323"/>
      <c r="U28" s="323"/>
      <c r="V28" s="323"/>
      <c r="W28" s="324"/>
      <c r="X28" s="323"/>
      <c r="Y28" s="323"/>
      <c r="Z28" s="323"/>
      <c r="AA28" s="323"/>
      <c r="AB28" s="324"/>
      <c r="AC28" s="323"/>
      <c r="AD28" s="323"/>
      <c r="AE28" s="323"/>
      <c r="AF28" s="323"/>
      <c r="AG28" s="324"/>
      <c r="AH28" s="323"/>
      <c r="AI28" s="323"/>
      <c r="AJ28" s="323"/>
      <c r="AK28" s="323"/>
      <c r="AL28" s="324"/>
      <c r="AM28" s="323"/>
      <c r="AN28" s="323"/>
      <c r="AO28" s="323"/>
      <c r="AP28" s="323"/>
      <c r="AQ28" s="324"/>
      <c r="AR28" s="323"/>
      <c r="AS28" s="323"/>
      <c r="AT28" s="323"/>
      <c r="AU28" s="323"/>
      <c r="AV28" s="324"/>
    </row>
    <row r="29" spans="2:48" outlineLevel="1" x14ac:dyDescent="0.3">
      <c r="B29" s="485" t="s">
        <v>264</v>
      </c>
      <c r="C29" s="486"/>
      <c r="D29" s="327">
        <v>0</v>
      </c>
      <c r="E29" s="327">
        <f>-D29</f>
        <v>0</v>
      </c>
      <c r="F29" s="327">
        <f>1996-350-E29-D29</f>
        <v>1646</v>
      </c>
      <c r="G29" s="327">
        <f>1996-F29-E29-D29</f>
        <v>350</v>
      </c>
      <c r="H29" s="328">
        <f t="shared" ref="H29:H36" si="27">SUM(D29:G29)</f>
        <v>1996</v>
      </c>
      <c r="I29" s="327">
        <v>0</v>
      </c>
      <c r="J29" s="327">
        <f>1739.7-I29</f>
        <v>1739.7</v>
      </c>
      <c r="K29" s="327">
        <f>1157.2+4727.6-J29-I29</f>
        <v>4145.1000000000004</v>
      </c>
      <c r="L29" s="327">
        <f>1406.6-K29-J29-I29</f>
        <v>-4478.2000000000007</v>
      </c>
      <c r="M29" s="328">
        <f t="shared" ref="M29:M36" si="28">SUM(I29:L29)</f>
        <v>1406.5999999999995</v>
      </c>
      <c r="N29" s="327">
        <v>192.9</v>
      </c>
      <c r="O29" s="327">
        <f>203.3-N29</f>
        <v>10.400000000000006</v>
      </c>
      <c r="P29" s="327">
        <f>215.6-O29-N29</f>
        <v>12.299999999999983</v>
      </c>
      <c r="Q29" s="327">
        <f>-296.5-P29-O29-N29</f>
        <v>-512.09999999999991</v>
      </c>
      <c r="R29" s="328">
        <f t="shared" ref="R29:R36" si="29">SUM(N29:Q29)</f>
        <v>-296.49999999999989</v>
      </c>
      <c r="S29" s="327">
        <v>200</v>
      </c>
      <c r="T29" s="327">
        <f>17.4+1498.1-S29</f>
        <v>1315.5</v>
      </c>
      <c r="U29" s="327">
        <f>200+38.9+1498.1-T29-S29</f>
        <v>221.5</v>
      </c>
      <c r="V29" s="327">
        <f>+('BS (Bull-Case)'!V28-'BS (Bull-Case)'!U28)+('BS (Bull-Case)'!V31-'BS (Bull-Case)'!U31)</f>
        <v>-199</v>
      </c>
      <c r="W29" s="328">
        <f t="shared" ref="W29:W36" si="30">SUM(S29:V29)</f>
        <v>1538</v>
      </c>
      <c r="X29" s="327">
        <f>+('BS (Bull-Case)'!X28-'BS (Bull-Case)'!V28)+('BS (Bull-Case)'!X31-'BS (Bull-Case)'!V31)</f>
        <v>0</v>
      </c>
      <c r="Y29" s="327">
        <f>+('BS (Bull-Case)'!Y28-'BS (Bull-Case)'!X28)+('BS (Bull-Case)'!Y31-'BS (Bull-Case)'!X31)</f>
        <v>0</v>
      </c>
      <c r="Z29" s="327">
        <f>+('BS (Bull-Case)'!Z28-'BS (Bull-Case)'!Y28)+('BS (Bull-Case)'!Z31-'BS (Bull-Case)'!Y31)</f>
        <v>0</v>
      </c>
      <c r="AA29" s="327">
        <f>+('BS (Bull-Case)'!AA28-'BS (Bull-Case)'!Z28)+('BS (Bull-Case)'!AA31-'BS (Bull-Case)'!Z31)</f>
        <v>0</v>
      </c>
      <c r="AB29" s="328">
        <f t="shared" ref="AB29:AB36" si="31">SUM(X29:AA29)</f>
        <v>0</v>
      </c>
      <c r="AC29" s="327">
        <f>+('BS (Bull-Case)'!AC28-'BS (Bull-Case)'!AA28)+('BS (Bull-Case)'!AC31-'BS (Bull-Case)'!AA31)</f>
        <v>0</v>
      </c>
      <c r="AD29" s="327">
        <f>+('BS (Bull-Case)'!AD28-'BS (Bull-Case)'!AC28)+('BS (Bull-Case)'!AD31-'BS (Bull-Case)'!AC31)</f>
        <v>-0.29999999999995453</v>
      </c>
      <c r="AE29" s="327">
        <f>+('BS (Bull-Case)'!AE28-'BS (Bull-Case)'!AD28)+('BS (Bull-Case)'!AE31-'BS (Bull-Case)'!AD31)</f>
        <v>0</v>
      </c>
      <c r="AF29" s="327">
        <f>+('BS (Bull-Case)'!AF28-'BS (Bull-Case)'!AE28)+('BS (Bull-Case)'!AF31-'BS (Bull-Case)'!AE31)</f>
        <v>100</v>
      </c>
      <c r="AG29" s="328">
        <f t="shared" ref="AG29:AG36" si="32">SUM(AC29:AF29)</f>
        <v>99.700000000000045</v>
      </c>
      <c r="AH29" s="327">
        <f>+('BS (Bull-Case)'!AH28-'BS (Bull-Case)'!AF28)+('BS (Bull-Case)'!AH31-'BS (Bull-Case)'!AF31)</f>
        <v>0</v>
      </c>
      <c r="AI29" s="327">
        <f>+('BS (Bull-Case)'!AI28-'BS (Bull-Case)'!AH28)+('BS (Bull-Case)'!AI31-'BS (Bull-Case)'!AH31)</f>
        <v>0</v>
      </c>
      <c r="AJ29" s="327">
        <f>+('BS (Bull-Case)'!AJ28-'BS (Bull-Case)'!AI28)+('BS (Bull-Case)'!AJ31-'BS (Bull-Case)'!AI31)</f>
        <v>3824.6339371389658</v>
      </c>
      <c r="AK29" s="327">
        <f>+('BS (Bull-Case)'!AK28-'BS (Bull-Case)'!AJ28)+('BS (Bull-Case)'!AK31-'BS (Bull-Case)'!AJ31)</f>
        <v>0</v>
      </c>
      <c r="AL29" s="328">
        <f t="shared" ref="AL29:AL36" si="33">SUM(AH29:AK29)</f>
        <v>3824.6339371389658</v>
      </c>
      <c r="AM29" s="327">
        <f>+('BS (Bull-Case)'!AM28-'BS (Bull-Case)'!AK28)+('BS (Bull-Case)'!AM31-'BS (Bull-Case)'!AK31)</f>
        <v>0</v>
      </c>
      <c r="AN29" s="327">
        <f>+('BS (Bull-Case)'!AN28-'BS (Bull-Case)'!AM28)+('BS (Bull-Case)'!AN31-'BS (Bull-Case)'!AM31)</f>
        <v>0</v>
      </c>
      <c r="AO29" s="327">
        <f>+('BS (Bull-Case)'!AO28-'BS (Bull-Case)'!AN28)+('BS (Bull-Case)'!AO31-'BS (Bull-Case)'!AN31)</f>
        <v>0</v>
      </c>
      <c r="AP29" s="327">
        <f>+('BS (Bull-Case)'!AP28-'BS (Bull-Case)'!AO28)+('BS (Bull-Case)'!AP31-'BS (Bull-Case)'!AO31)</f>
        <v>0</v>
      </c>
      <c r="AQ29" s="328">
        <f t="shared" ref="AQ29:AQ36" si="34">SUM(AM29:AP29)</f>
        <v>0</v>
      </c>
      <c r="AR29" s="327">
        <f>+('BS (Bull-Case)'!AR28-'BS (Bull-Case)'!AP28)+('BS (Bull-Case)'!AR31-'BS (Bull-Case)'!AP31)</f>
        <v>0</v>
      </c>
      <c r="AS29" s="327">
        <f>+('BS (Bull-Case)'!AS28-'BS (Bull-Case)'!AR28)+('BS (Bull-Case)'!AS31-'BS (Bull-Case)'!AR31)</f>
        <v>0</v>
      </c>
      <c r="AT29" s="327">
        <f>+('BS (Bull-Case)'!AT28-'BS (Bull-Case)'!AS28)+('BS (Bull-Case)'!AT31-'BS (Bull-Case)'!AS31)</f>
        <v>0</v>
      </c>
      <c r="AU29" s="327">
        <f>+('BS (Bull-Case)'!AU28-'BS (Bull-Case)'!AT28)+('BS (Bull-Case)'!AU31-'BS (Bull-Case)'!AT31)</f>
        <v>0</v>
      </c>
      <c r="AV29" s="328">
        <f t="shared" ref="AV29:AV36" si="35">SUM(AR29:AU29)</f>
        <v>0</v>
      </c>
    </row>
    <row r="30" spans="2:48" outlineLevel="1" x14ac:dyDescent="0.3">
      <c r="B30" s="325" t="s">
        <v>288</v>
      </c>
      <c r="C30" s="326"/>
      <c r="D30" s="327">
        <v>-350</v>
      </c>
      <c r="E30" s="327">
        <v>0</v>
      </c>
      <c r="F30" s="327">
        <f>-75-E30-D30</f>
        <v>275</v>
      </c>
      <c r="G30" s="327">
        <f>-350-F30-E30-D30</f>
        <v>-275</v>
      </c>
      <c r="H30" s="328">
        <f t="shared" si="27"/>
        <v>-350</v>
      </c>
      <c r="I30" s="327"/>
      <c r="J30" s="327">
        <f>0-I30</f>
        <v>0</v>
      </c>
      <c r="K30" s="327">
        <v>-220.7</v>
      </c>
      <c r="L30" s="327">
        <f>-967.7-K30-J30-I30</f>
        <v>-747</v>
      </c>
      <c r="M30" s="328">
        <f t="shared" si="28"/>
        <v>-967.7</v>
      </c>
      <c r="N30" s="327">
        <f>-144.7-500</f>
        <v>-644.70000000000005</v>
      </c>
      <c r="O30" s="327">
        <f>-296.5-320.5-1250-N30</f>
        <v>-1222.3</v>
      </c>
      <c r="P30" s="327">
        <f>-296.5-346.2-1250-O30-N30</f>
        <v>-25.700000000000045</v>
      </c>
      <c r="Q30" s="327">
        <f>215.1-349.8-1250-P30-O30-N30</f>
        <v>508</v>
      </c>
      <c r="R30" s="328">
        <f t="shared" si="29"/>
        <v>-1384.7</v>
      </c>
      <c r="S30" s="327"/>
      <c r="T30" s="327">
        <v>-12.6</v>
      </c>
      <c r="U30" s="327">
        <f>-38.9-1000-T30-S30</f>
        <v>-1026.3000000000002</v>
      </c>
      <c r="V30" s="327"/>
      <c r="W30" s="328">
        <f t="shared" si="30"/>
        <v>-1038.9000000000001</v>
      </c>
      <c r="X30" s="327"/>
      <c r="Y30" s="327"/>
      <c r="Z30" s="327"/>
      <c r="AA30" s="327"/>
      <c r="AB30" s="328">
        <f t="shared" si="31"/>
        <v>0</v>
      </c>
      <c r="AC30" s="327"/>
      <c r="AD30" s="327"/>
      <c r="AE30" s="327"/>
      <c r="AF30" s="327"/>
      <c r="AG30" s="328">
        <f t="shared" si="32"/>
        <v>0</v>
      </c>
      <c r="AH30" s="327"/>
      <c r="AI30" s="327"/>
      <c r="AJ30" s="327"/>
      <c r="AK30" s="327"/>
      <c r="AL30" s="328">
        <f t="shared" si="33"/>
        <v>0</v>
      </c>
      <c r="AM30" s="327"/>
      <c r="AN30" s="327"/>
      <c r="AO30" s="327"/>
      <c r="AP30" s="327"/>
      <c r="AQ30" s="328">
        <f t="shared" si="34"/>
        <v>0</v>
      </c>
      <c r="AR30" s="327"/>
      <c r="AS30" s="327"/>
      <c r="AT30" s="327"/>
      <c r="AU30" s="327"/>
      <c r="AV30" s="328">
        <f t="shared" si="35"/>
        <v>0</v>
      </c>
    </row>
    <row r="31" spans="2:48" outlineLevel="1" x14ac:dyDescent="0.3">
      <c r="B31" s="325" t="s">
        <v>289</v>
      </c>
      <c r="C31" s="326"/>
      <c r="D31" s="327"/>
      <c r="E31" s="327">
        <v>75</v>
      </c>
      <c r="F31" s="327">
        <v>0</v>
      </c>
      <c r="G31" s="327">
        <f>0-F31-E31-D31</f>
        <v>-75</v>
      </c>
      <c r="H31" s="328">
        <f t="shared" si="27"/>
        <v>0</v>
      </c>
      <c r="I31" s="327">
        <f>398.9+99</f>
        <v>497.9</v>
      </c>
      <c r="J31" s="327">
        <f>613+494.1-I31</f>
        <v>609.19999999999993</v>
      </c>
      <c r="K31" s="327">
        <f>0-J31-I31</f>
        <v>-1107.0999999999999</v>
      </c>
      <c r="L31" s="327">
        <f>4727.6-K31-J31-I31</f>
        <v>4727.6000000000013</v>
      </c>
      <c r="M31" s="328">
        <f t="shared" si="28"/>
        <v>4727.6000000000013</v>
      </c>
      <c r="N31" s="327">
        <v>0</v>
      </c>
      <c r="O31" s="327">
        <f>0-N31</f>
        <v>0</v>
      </c>
      <c r="P31" s="327">
        <f>0-O31-N31</f>
        <v>0</v>
      </c>
      <c r="Q31" s="327">
        <f>0-P31-O31-N31</f>
        <v>0</v>
      </c>
      <c r="R31" s="328">
        <f t="shared" si="29"/>
        <v>0</v>
      </c>
      <c r="S31" s="327">
        <v>0</v>
      </c>
      <c r="T31" s="327">
        <f>0-S31</f>
        <v>0</v>
      </c>
      <c r="U31" s="327">
        <f t="shared" ref="U31" si="36">0-T31-S31</f>
        <v>0</v>
      </c>
      <c r="V31" s="327"/>
      <c r="W31" s="328">
        <f t="shared" si="30"/>
        <v>0</v>
      </c>
      <c r="X31" s="327"/>
      <c r="Y31" s="327"/>
      <c r="Z31" s="327"/>
      <c r="AA31" s="327"/>
      <c r="AB31" s="328">
        <f t="shared" si="31"/>
        <v>0</v>
      </c>
      <c r="AC31" s="327"/>
      <c r="AD31" s="327"/>
      <c r="AE31" s="327"/>
      <c r="AF31" s="327"/>
      <c r="AG31" s="328">
        <f t="shared" si="32"/>
        <v>0</v>
      </c>
      <c r="AH31" s="327"/>
      <c r="AI31" s="327"/>
      <c r="AJ31" s="327"/>
      <c r="AK31" s="327"/>
      <c r="AL31" s="328">
        <f t="shared" si="33"/>
        <v>0</v>
      </c>
      <c r="AM31" s="327"/>
      <c r="AN31" s="327"/>
      <c r="AO31" s="327"/>
      <c r="AP31" s="327"/>
      <c r="AQ31" s="328">
        <f t="shared" si="34"/>
        <v>0</v>
      </c>
      <c r="AR31" s="327"/>
      <c r="AS31" s="327"/>
      <c r="AT31" s="327"/>
      <c r="AU31" s="327"/>
      <c r="AV31" s="328">
        <f t="shared" si="35"/>
        <v>0</v>
      </c>
    </row>
    <row r="32" spans="2:48" outlineLevel="1" x14ac:dyDescent="0.3">
      <c r="B32" s="325" t="s">
        <v>290</v>
      </c>
      <c r="C32" s="326"/>
      <c r="D32" s="327">
        <v>108.4</v>
      </c>
      <c r="E32" s="327">
        <f>275.7-D32</f>
        <v>167.29999999999998</v>
      </c>
      <c r="F32" s="327">
        <f>358.5-E32-D32</f>
        <v>82.800000000000011</v>
      </c>
      <c r="G32" s="327">
        <f>409.8-F32-E32-D32</f>
        <v>51.300000000000011</v>
      </c>
      <c r="H32" s="328">
        <f t="shared" si="27"/>
        <v>409.8</v>
      </c>
      <c r="I32" s="327">
        <v>33.1</v>
      </c>
      <c r="J32" s="327">
        <f>65.4-I32</f>
        <v>32.300000000000004</v>
      </c>
      <c r="K32" s="327">
        <f>98.9-J32-I32</f>
        <v>33.499999999999993</v>
      </c>
      <c r="L32" s="327">
        <f>298.8-K32-J32-I32</f>
        <v>199.9</v>
      </c>
      <c r="M32" s="328">
        <f t="shared" si="28"/>
        <v>298.8</v>
      </c>
      <c r="N32" s="327">
        <v>102.8</v>
      </c>
      <c r="O32" s="327">
        <f>134.4-N32</f>
        <v>31.600000000000009</v>
      </c>
      <c r="P32" s="327">
        <f>191.6-O32-N32</f>
        <v>57.2</v>
      </c>
      <c r="Q32" s="327">
        <f>246.2-P32-O32-N32</f>
        <v>54.59999999999998</v>
      </c>
      <c r="R32" s="328">
        <f t="shared" si="29"/>
        <v>246.2</v>
      </c>
      <c r="S32" s="327">
        <v>41.3</v>
      </c>
      <c r="T32" s="327">
        <f>56.3-S32</f>
        <v>15</v>
      </c>
      <c r="U32" s="327">
        <f>75.5-T32-S32</f>
        <v>19.200000000000003</v>
      </c>
      <c r="V32" s="327">
        <v>0</v>
      </c>
      <c r="W32" s="328">
        <f t="shared" si="30"/>
        <v>75.5</v>
      </c>
      <c r="X32" s="327">
        <v>0</v>
      </c>
      <c r="Y32" s="327">
        <v>0</v>
      </c>
      <c r="Z32" s="327">
        <v>0</v>
      </c>
      <c r="AA32" s="327">
        <v>0</v>
      </c>
      <c r="AB32" s="328">
        <f t="shared" si="31"/>
        <v>0</v>
      </c>
      <c r="AC32" s="327">
        <v>0</v>
      </c>
      <c r="AD32" s="327">
        <v>0</v>
      </c>
      <c r="AE32" s="327">
        <v>0</v>
      </c>
      <c r="AF32" s="327">
        <v>0</v>
      </c>
      <c r="AG32" s="328">
        <f t="shared" si="32"/>
        <v>0</v>
      </c>
      <c r="AH32" s="327">
        <v>0</v>
      </c>
      <c r="AI32" s="327">
        <v>0</v>
      </c>
      <c r="AJ32" s="327">
        <v>0</v>
      </c>
      <c r="AK32" s="327">
        <v>0</v>
      </c>
      <c r="AL32" s="328">
        <f t="shared" si="33"/>
        <v>0</v>
      </c>
      <c r="AM32" s="327">
        <v>0</v>
      </c>
      <c r="AN32" s="327">
        <v>0</v>
      </c>
      <c r="AO32" s="327">
        <v>0</v>
      </c>
      <c r="AP32" s="327">
        <v>0</v>
      </c>
      <c r="AQ32" s="328">
        <f t="shared" si="34"/>
        <v>0</v>
      </c>
      <c r="AR32" s="327">
        <v>0</v>
      </c>
      <c r="AS32" s="327">
        <v>0</v>
      </c>
      <c r="AT32" s="327">
        <v>0</v>
      </c>
      <c r="AU32" s="327">
        <v>0</v>
      </c>
      <c r="AV32" s="328">
        <f t="shared" si="35"/>
        <v>0</v>
      </c>
    </row>
    <row r="33" spans="2:48" outlineLevel="1" x14ac:dyDescent="0.3">
      <c r="B33" s="325" t="s">
        <v>291</v>
      </c>
      <c r="C33" s="326"/>
      <c r="D33" s="327">
        <v>-446.7</v>
      </c>
      <c r="E33" s="327">
        <f>-894.5-D33</f>
        <v>-447.8</v>
      </c>
      <c r="F33" s="327">
        <f>-1330.7-E33-D33</f>
        <v>-436.2000000000001</v>
      </c>
      <c r="G33" s="327">
        <f>-1761.3-F33-E33-D33</f>
        <v>-430.59999999999997</v>
      </c>
      <c r="H33" s="328">
        <f t="shared" si="27"/>
        <v>-1761.3</v>
      </c>
      <c r="I33" s="327">
        <v>-484.2</v>
      </c>
      <c r="J33" s="327">
        <f>-965.2-I33</f>
        <v>-481.00000000000006</v>
      </c>
      <c r="K33" s="327">
        <f>-1444.2-J33-I33</f>
        <v>-479.00000000000006</v>
      </c>
      <c r="L33" s="327">
        <f>-1923.5-K33-J33-I33</f>
        <v>-479.3</v>
      </c>
      <c r="M33" s="328">
        <f t="shared" si="28"/>
        <v>-1923.5</v>
      </c>
      <c r="N33" s="327">
        <v>-528.20000000000005</v>
      </c>
      <c r="O33" s="327">
        <f>-1058-N33</f>
        <v>-529.79999999999995</v>
      </c>
      <c r="P33" s="327">
        <f>-1588.2-O33-N33</f>
        <v>-530.20000000000005</v>
      </c>
      <c r="Q33" s="327">
        <f>-2119-P33-O33-N33</f>
        <v>-530.79999999999995</v>
      </c>
      <c r="R33" s="328">
        <f t="shared" si="29"/>
        <v>-2119</v>
      </c>
      <c r="S33" s="327">
        <v>-576</v>
      </c>
      <c r="T33" s="327">
        <f>-1139.2-S33</f>
        <v>-563.20000000000005</v>
      </c>
      <c r="U33" s="327">
        <f>-1701.1-T33-S33</f>
        <v>-561.89999999999986</v>
      </c>
      <c r="V33" s="327">
        <f>-'IS (Bull-Case)'!V35*'IS (Bull-Case)'!V30</f>
        <v>-591.31176300000004</v>
      </c>
      <c r="W33" s="328">
        <f t="shared" si="30"/>
        <v>-2292.4117630000001</v>
      </c>
      <c r="X33" s="327">
        <f>-'IS (Bull-Case)'!X35*'IS (Bull-Case)'!X30</f>
        <v>-592.49438652600008</v>
      </c>
      <c r="Y33" s="327">
        <f>-'IS (Bull-Case)'!Y35*'IS (Bull-Case)'!Y30</f>
        <v>-593.67937529905203</v>
      </c>
      <c r="Z33" s="327">
        <f>-'IS (Bull-Case)'!Z35*'IS (Bull-Case)'!Z30</f>
        <v>-594.86673404965018</v>
      </c>
      <c r="AA33" s="327">
        <f>-'IS (Bull-Case)'!AA35*'IS (Bull-Case)'!AA30</f>
        <v>-625.85929089363685</v>
      </c>
      <c r="AB33" s="328">
        <f t="shared" si="31"/>
        <v>-2406.8997867683393</v>
      </c>
      <c r="AC33" s="327">
        <f>-'IS (Bull-Case)'!X35*'IS (Bull-Case)'!X30</f>
        <v>-592.49438652600008</v>
      </c>
      <c r="AD33" s="327">
        <f>-'IS (Bull-Case)'!Y35*'IS (Bull-Case)'!Y30</f>
        <v>-593.67937529905203</v>
      </c>
      <c r="AE33" s="327">
        <f>-'IS (Bull-Case)'!Z35*'IS (Bull-Case)'!Z30</f>
        <v>-594.86673404965018</v>
      </c>
      <c r="AF33" s="327">
        <f>-'IS (Bull-Case)'!AA35*'IS (Bull-Case)'!AA30</f>
        <v>-625.85929089363685</v>
      </c>
      <c r="AG33" s="328">
        <f t="shared" si="32"/>
        <v>-2406.8997867683393</v>
      </c>
      <c r="AH33" s="327">
        <f>-'IS (Bull-Case)'!AC35*'IS (Bull-Case)'!AC30</f>
        <v>-627.11100947542411</v>
      </c>
      <c r="AI33" s="327">
        <f>-'IS (Bull-Case)'!AD35*'IS (Bull-Case)'!AD30</f>
        <v>-628.36523149437494</v>
      </c>
      <c r="AJ33" s="327">
        <f>-'IS (Bull-Case)'!AE35*'IS (Bull-Case)'!AE30</f>
        <v>-629.13415707931495</v>
      </c>
      <c r="AK33" s="327">
        <f>-'IS (Bull-Case)'!AF35*'IS (Bull-Case)'!AF30</f>
        <v>-692.8950825669674</v>
      </c>
      <c r="AL33" s="328">
        <f t="shared" si="33"/>
        <v>-2577.5054806160815</v>
      </c>
      <c r="AM33" s="327">
        <f>-'IS (Bull-Case)'!AH35*'IS (Bull-Case)'!AH30</f>
        <v>-693.78704557160756</v>
      </c>
      <c r="AN33" s="327">
        <f>-'IS (Bull-Case)'!AI35*'IS (Bull-Case)'!AI30</f>
        <v>-694.68079250225696</v>
      </c>
      <c r="AO33" s="327">
        <f>-'IS (Bull-Case)'!AJ35*'IS (Bull-Case)'!AJ30</f>
        <v>-677.67690007669853</v>
      </c>
      <c r="AP33" s="327">
        <f>-'IS (Bull-Case)'!AK35*'IS (Bull-Case)'!AK30</f>
        <v>-693.67094985960352</v>
      </c>
      <c r="AQ33" s="328">
        <f t="shared" si="34"/>
        <v>-2759.8156880101669</v>
      </c>
      <c r="AR33" s="327">
        <f>-'IS (Bull-Case)'!AM35*'IS (Bull-Case)'!AM30</f>
        <v>-693.81451066479542</v>
      </c>
      <c r="AS33" s="327">
        <f>-'IS (Bull-Case)'!AN35*'IS (Bull-Case)'!AN30</f>
        <v>-693.95835859159763</v>
      </c>
      <c r="AT33" s="327">
        <f>-'IS (Bull-Case)'!AO35*'IS (Bull-Case)'!AO30</f>
        <v>-694.10249421425362</v>
      </c>
      <c r="AU33" s="327">
        <f>-'IS (Bull-Case)'!AP35*'IS (Bull-Case)'!AP30</f>
        <v>-708.13185647031787</v>
      </c>
      <c r="AV33" s="328">
        <f t="shared" si="35"/>
        <v>-2790.0072199409647</v>
      </c>
    </row>
    <row r="34" spans="2:48" outlineLevel="1" x14ac:dyDescent="0.3">
      <c r="B34" s="325" t="s">
        <v>292</v>
      </c>
      <c r="C34" s="338"/>
      <c r="D34" s="327">
        <v>-5114.7</v>
      </c>
      <c r="E34" s="327">
        <f>-7827.9-D34</f>
        <v>-2713.2</v>
      </c>
      <c r="F34" s="327">
        <f>-7972.9-E34-D34</f>
        <v>-145</v>
      </c>
      <c r="G34" s="327">
        <f>-10222.3-F34-E34-D34</f>
        <v>-2249.3999999999996</v>
      </c>
      <c r="H34" s="328">
        <f t="shared" si="27"/>
        <v>-10222.299999999999</v>
      </c>
      <c r="I34" s="327">
        <v>-1091.4000000000001</v>
      </c>
      <c r="J34" s="327">
        <f>-1698.9-I34</f>
        <v>-607.5</v>
      </c>
      <c r="K34" s="327">
        <f>-1698.9-J34-I34</f>
        <v>0</v>
      </c>
      <c r="L34" s="327">
        <f>-1698.9-K34-J34-I34</f>
        <v>0</v>
      </c>
      <c r="M34" s="328">
        <f t="shared" si="28"/>
        <v>-1698.9</v>
      </c>
      <c r="N34" s="327">
        <v>0</v>
      </c>
      <c r="O34" s="327">
        <f>0-N34</f>
        <v>0</v>
      </c>
      <c r="P34" s="327">
        <f>0-O34-N34</f>
        <v>0</v>
      </c>
      <c r="Q34" s="327">
        <f>0-P34-O34-N34</f>
        <v>0</v>
      </c>
      <c r="R34" s="328">
        <f t="shared" si="29"/>
        <v>0</v>
      </c>
      <c r="S34" s="327">
        <v>-3520.9</v>
      </c>
      <c r="T34" s="327">
        <f>-3997.5-S34</f>
        <v>-476.59999999999991</v>
      </c>
      <c r="U34" s="327">
        <f>-4013-T34-S34</f>
        <v>-15.5</v>
      </c>
      <c r="V34" s="327">
        <f>-'IS (Bull-Case)'!V154</f>
        <v>0</v>
      </c>
      <c r="W34" s="328">
        <f t="shared" si="30"/>
        <v>-4013</v>
      </c>
      <c r="X34" s="327">
        <f>-'IS (Bull-Case)'!X154</f>
        <v>0</v>
      </c>
      <c r="Y34" s="327">
        <f>-'IS (Bull-Case)'!Y154</f>
        <v>0</v>
      </c>
      <c r="Z34" s="327">
        <f>-'IS (Bull-Case)'!Z154</f>
        <v>0</v>
      </c>
      <c r="AA34" s="327">
        <f>-'IS (Bull-Case)'!AA154</f>
        <v>0</v>
      </c>
      <c r="AB34" s="328">
        <f t="shared" si="31"/>
        <v>0</v>
      </c>
      <c r="AC34" s="327">
        <f>-'IS (Bull-Case)'!AC154</f>
        <v>0</v>
      </c>
      <c r="AD34" s="327">
        <f>-'IS (Bull-Case)'!AD154</f>
        <v>0</v>
      </c>
      <c r="AE34" s="327">
        <f>-'IS (Bull-Case)'!AE154</f>
        <v>-100</v>
      </c>
      <c r="AF34" s="327">
        <f>-'IS (Bull-Case)'!AF154</f>
        <v>-100</v>
      </c>
      <c r="AG34" s="328">
        <f t="shared" si="32"/>
        <v>-200</v>
      </c>
      <c r="AH34" s="327">
        <f>-'IS (Bull-Case)'!AH154</f>
        <v>-100</v>
      </c>
      <c r="AI34" s="327">
        <f>-'IS (Bull-Case)'!AI154</f>
        <v>-100</v>
      </c>
      <c r="AJ34" s="327">
        <f>-'IS (Bull-Case)'!AJ154</f>
        <v>-3724.6339371389654</v>
      </c>
      <c r="AK34" s="327">
        <f>-'IS (Bull-Case)'!AK154</f>
        <v>-3724.6339371389654</v>
      </c>
      <c r="AL34" s="328">
        <f t="shared" si="33"/>
        <v>-7649.2678742779308</v>
      </c>
      <c r="AM34" s="327">
        <f>-'IS (Bull-Case)'!AM154</f>
        <v>-250</v>
      </c>
      <c r="AN34" s="327">
        <f>-'IS (Bull-Case)'!AN154</f>
        <v>-250</v>
      </c>
      <c r="AO34" s="327">
        <f>-'IS (Bull-Case)'!AO154</f>
        <v>-250</v>
      </c>
      <c r="AP34" s="327">
        <f>-'IS (Bull-Case)'!AP154</f>
        <v>-250</v>
      </c>
      <c r="AQ34" s="328">
        <f t="shared" si="34"/>
        <v>-1000</v>
      </c>
      <c r="AR34" s="327">
        <f>-'IS (Bull-Case)'!AR154</f>
        <v>-250</v>
      </c>
      <c r="AS34" s="327">
        <f>-'IS (Bull-Case)'!AS154</f>
        <v>-250</v>
      </c>
      <c r="AT34" s="327">
        <f>-'IS (Bull-Case)'!AT154</f>
        <v>-250</v>
      </c>
      <c r="AU34" s="327">
        <f>-'IS (Bull-Case)'!AU154</f>
        <v>-250</v>
      </c>
      <c r="AV34" s="328">
        <f t="shared" si="35"/>
        <v>-1000</v>
      </c>
    </row>
    <row r="35" spans="2:48" outlineLevel="1" x14ac:dyDescent="0.3">
      <c r="B35" s="325" t="s">
        <v>293</v>
      </c>
      <c r="C35" s="339"/>
      <c r="D35" s="327">
        <v>-55.3</v>
      </c>
      <c r="E35" s="327">
        <f>-56.3-D35</f>
        <v>-1</v>
      </c>
      <c r="F35" s="327">
        <f>-106.1-E35-D35</f>
        <v>-49.8</v>
      </c>
      <c r="G35" s="327">
        <f>-111.6-F35-E35-D35</f>
        <v>-5.5</v>
      </c>
      <c r="H35" s="328">
        <f t="shared" si="27"/>
        <v>-111.6</v>
      </c>
      <c r="I35" s="327">
        <v>-78.400000000000006</v>
      </c>
      <c r="J35" s="327">
        <f>-87.6-I35</f>
        <v>-9.1999999999999886</v>
      </c>
      <c r="K35" s="327">
        <f>-89.1-J35-I35</f>
        <v>-1.5</v>
      </c>
      <c r="L35" s="327">
        <f>-91.9-K35-J35-I35</f>
        <v>-2.8000000000000114</v>
      </c>
      <c r="M35" s="328">
        <f t="shared" si="28"/>
        <v>-91.9</v>
      </c>
      <c r="N35" s="327">
        <v>-88.6</v>
      </c>
      <c r="O35" s="327">
        <f>-90.1-N35</f>
        <v>-1.5</v>
      </c>
      <c r="P35" s="327">
        <f>-94.2-O35-N35</f>
        <v>-4.1000000000000085</v>
      </c>
      <c r="Q35" s="327">
        <f>-97-P35-O35-N35</f>
        <v>-2.7999999999999972</v>
      </c>
      <c r="R35" s="328">
        <f t="shared" si="29"/>
        <v>-97</v>
      </c>
      <c r="S35" s="327">
        <v>-113.6</v>
      </c>
      <c r="T35" s="327">
        <f>-122.1-S35</f>
        <v>-8.5</v>
      </c>
      <c r="U35" s="327">
        <f>-123.5-T35-S35</f>
        <v>-1.4000000000000057</v>
      </c>
      <c r="V35" s="327">
        <f>(U35/U12)*V12</f>
        <v>-1.706455238723249</v>
      </c>
      <c r="W35" s="328">
        <f t="shared" si="30"/>
        <v>-125.20645523872325</v>
      </c>
      <c r="X35" s="327">
        <f>(V35/V12)*X12</f>
        <v>-1.835615574792661</v>
      </c>
      <c r="Y35" s="327">
        <f>(X35/X12)*Y12</f>
        <v>-1.6061501464130212</v>
      </c>
      <c r="Z35" s="327">
        <f>(Y35/Y12)*Z12</f>
        <v>-1.8029579193066803</v>
      </c>
      <c r="AA35" s="327">
        <f>(Z35/Z12)*AA12</f>
        <v>-1.8961986041262437</v>
      </c>
      <c r="AB35" s="328">
        <f t="shared" si="31"/>
        <v>-7.140922244638606</v>
      </c>
      <c r="AC35" s="327">
        <f>(AA35/AA12)*AC12</f>
        <v>-1.9688435493912801</v>
      </c>
      <c r="AD35" s="327">
        <f>(AC35/AC12)*AD12</f>
        <v>-1.8350928428361575</v>
      </c>
      <c r="AE35" s="327">
        <f>(AD35/AD12)*AE12</f>
        <v>-2.0268048544994612</v>
      </c>
      <c r="AF35" s="327">
        <f>(AE35/AE12)*AF12</f>
        <v>-2.0844105255560827</v>
      </c>
      <c r="AG35" s="328">
        <f t="shared" si="32"/>
        <v>-7.9151517722829805</v>
      </c>
      <c r="AH35" s="327">
        <f>(AF35/AF12)*AH12</f>
        <v>-2.2031071758274927</v>
      </c>
      <c r="AI35" s="327">
        <f>(AH35/AH12)*AI12</f>
        <v>-2.0787443196758404</v>
      </c>
      <c r="AJ35" s="327">
        <f>(AI35/AI12)*AJ12</f>
        <v>-2.2837066006643023</v>
      </c>
      <c r="AK35" s="327">
        <f>(AJ35/AJ12)*AK12</f>
        <v>-2.3448732981589853</v>
      </c>
      <c r="AL35" s="328">
        <f t="shared" si="33"/>
        <v>-8.9104313943266202</v>
      </c>
      <c r="AM35" s="327">
        <f>(AK35/AK12)*AM12</f>
        <v>-2.4220913195842479</v>
      </c>
      <c r="AN35" s="327">
        <f>(AM35/AM12)*AN12</f>
        <v>-2.2774519309957033</v>
      </c>
      <c r="AO35" s="327">
        <f>(AN35/AN12)*AO12</f>
        <v>-2.4896851717087172</v>
      </c>
      <c r="AP35" s="327">
        <f>(AO35/AO12)*AP12</f>
        <v>-2.5482904561488735</v>
      </c>
      <c r="AQ35" s="328">
        <f t="shared" si="34"/>
        <v>-9.7375188784375428</v>
      </c>
      <c r="AR35" s="327">
        <f>(AP35/AP12)*AR12</f>
        <v>-2.5797744141847088</v>
      </c>
      <c r="AS35" s="327">
        <f>(AR35/AR12)*AS12</f>
        <v>-2.424208673656099</v>
      </c>
      <c r="AT35" s="327">
        <f>(AS35/AS12)*AT12</f>
        <v>-2.6488879422328551</v>
      </c>
      <c r="AU35" s="327">
        <f>(AT35/AT12)*AU12</f>
        <v>-2.7120310305999995</v>
      </c>
      <c r="AV35" s="328">
        <f t="shared" si="35"/>
        <v>-10.364902060673664</v>
      </c>
    </row>
    <row r="36" spans="2:48" ht="16.2" outlineLevel="1" x14ac:dyDescent="0.45">
      <c r="B36" s="485" t="s">
        <v>294</v>
      </c>
      <c r="C36" s="486"/>
      <c r="D36" s="329">
        <v>-0.3</v>
      </c>
      <c r="E36" s="329">
        <f>0.1-D36</f>
        <v>0.4</v>
      </c>
      <c r="F36" s="329">
        <f>-17.6-E36-D36</f>
        <v>-17.7</v>
      </c>
      <c r="G36" s="329">
        <f>-17.5-F36-E36-D36</f>
        <v>9.9999999999999256E-2</v>
      </c>
      <c r="H36" s="330">
        <f t="shared" si="27"/>
        <v>-17.5</v>
      </c>
      <c r="I36" s="329">
        <v>0</v>
      </c>
      <c r="J36" s="329">
        <f>-10.4-I36</f>
        <v>-10.4</v>
      </c>
      <c r="K36" s="329">
        <f>-37.8-J36-I36</f>
        <v>-27.4</v>
      </c>
      <c r="L36" s="329">
        <f>-37.7-K36-J36-I36</f>
        <v>9.9999999999996092E-2</v>
      </c>
      <c r="M36" s="330">
        <f t="shared" si="28"/>
        <v>-37.700000000000003</v>
      </c>
      <c r="N36" s="329">
        <v>0</v>
      </c>
      <c r="O36" s="329">
        <f>0-N36</f>
        <v>0</v>
      </c>
      <c r="P36" s="329">
        <f>0-O36-N36</f>
        <v>0</v>
      </c>
      <c r="Q36" s="329">
        <f>0-P36-O36-N36</f>
        <v>0</v>
      </c>
      <c r="R36" s="330">
        <f t="shared" si="29"/>
        <v>0</v>
      </c>
      <c r="S36" s="329">
        <v>0</v>
      </c>
      <c r="T36" s="329">
        <f>-9.2-S36</f>
        <v>-9.1999999999999993</v>
      </c>
      <c r="U36" s="329">
        <f>-9.2-T36-S36</f>
        <v>0</v>
      </c>
      <c r="V36" s="329">
        <v>0</v>
      </c>
      <c r="W36" s="330">
        <f t="shared" si="30"/>
        <v>-9.1999999999999993</v>
      </c>
      <c r="X36" s="329">
        <v>0</v>
      </c>
      <c r="Y36" s="329">
        <v>0</v>
      </c>
      <c r="Z36" s="329">
        <v>0</v>
      </c>
      <c r="AA36" s="329">
        <v>0</v>
      </c>
      <c r="AB36" s="330">
        <f t="shared" si="31"/>
        <v>0</v>
      </c>
      <c r="AC36" s="329">
        <v>0</v>
      </c>
      <c r="AD36" s="329">
        <v>0</v>
      </c>
      <c r="AE36" s="329">
        <v>0</v>
      </c>
      <c r="AF36" s="329">
        <v>0</v>
      </c>
      <c r="AG36" s="330">
        <f t="shared" si="32"/>
        <v>0</v>
      </c>
      <c r="AH36" s="329">
        <v>0</v>
      </c>
      <c r="AI36" s="329">
        <v>0</v>
      </c>
      <c r="AJ36" s="329">
        <v>0</v>
      </c>
      <c r="AK36" s="329">
        <v>0</v>
      </c>
      <c r="AL36" s="330">
        <f t="shared" si="33"/>
        <v>0</v>
      </c>
      <c r="AM36" s="329">
        <v>0</v>
      </c>
      <c r="AN36" s="329">
        <v>0</v>
      </c>
      <c r="AO36" s="329">
        <v>0</v>
      </c>
      <c r="AP36" s="329">
        <v>0</v>
      </c>
      <c r="AQ36" s="330">
        <f t="shared" si="34"/>
        <v>0</v>
      </c>
      <c r="AR36" s="329">
        <v>0</v>
      </c>
      <c r="AS36" s="329">
        <v>0</v>
      </c>
      <c r="AT36" s="329">
        <v>0</v>
      </c>
      <c r="AU36" s="329">
        <v>0</v>
      </c>
      <c r="AV36" s="330">
        <f t="shared" si="35"/>
        <v>0</v>
      </c>
    </row>
    <row r="37" spans="2:48" outlineLevel="1" x14ac:dyDescent="0.3">
      <c r="B37" s="487" t="s">
        <v>295</v>
      </c>
      <c r="C37" s="488"/>
      <c r="D37" s="331">
        <f t="shared" ref="D37:AV37" si="37">SUM(D29:D36)</f>
        <v>-5858.6</v>
      </c>
      <c r="E37" s="331">
        <f t="shared" si="37"/>
        <v>-2919.2999999999997</v>
      </c>
      <c r="F37" s="331">
        <f t="shared" si="37"/>
        <v>1355.1</v>
      </c>
      <c r="G37" s="331">
        <f t="shared" si="37"/>
        <v>-2634.1</v>
      </c>
      <c r="H37" s="332">
        <f t="shared" si="37"/>
        <v>-10056.9</v>
      </c>
      <c r="I37" s="331">
        <f t="shared" si="37"/>
        <v>-1123.0000000000002</v>
      </c>
      <c r="J37" s="331">
        <f t="shared" si="37"/>
        <v>1273.1000000000001</v>
      </c>
      <c r="K37" s="331">
        <f t="shared" si="37"/>
        <v>2342.9000000000005</v>
      </c>
      <c r="L37" s="331">
        <f t="shared" si="37"/>
        <v>-779.69999999999948</v>
      </c>
      <c r="M37" s="332">
        <f t="shared" si="37"/>
        <v>1713.3000000000009</v>
      </c>
      <c r="N37" s="331">
        <f t="shared" si="37"/>
        <v>-965.80000000000007</v>
      </c>
      <c r="O37" s="331">
        <f t="shared" si="37"/>
        <v>-1711.6</v>
      </c>
      <c r="P37" s="331">
        <f t="shared" si="37"/>
        <v>-490.50000000000011</v>
      </c>
      <c r="Q37" s="331">
        <f t="shared" si="37"/>
        <v>-483.09999999999991</v>
      </c>
      <c r="R37" s="332">
        <f t="shared" si="37"/>
        <v>-3651</v>
      </c>
      <c r="S37" s="331">
        <f t="shared" si="37"/>
        <v>-3969.2</v>
      </c>
      <c r="T37" s="331">
        <f t="shared" si="37"/>
        <v>260.40000000000015</v>
      </c>
      <c r="U37" s="331">
        <f t="shared" si="37"/>
        <v>-1364.4</v>
      </c>
      <c r="V37" s="331">
        <f t="shared" si="37"/>
        <v>-792.01821823872331</v>
      </c>
      <c r="W37" s="332">
        <f t="shared" si="37"/>
        <v>-5865.2182182387223</v>
      </c>
      <c r="X37" s="331">
        <f t="shared" si="37"/>
        <v>-594.33000210079274</v>
      </c>
      <c r="Y37" s="331">
        <f t="shared" si="37"/>
        <v>-595.28552544546505</v>
      </c>
      <c r="Z37" s="331">
        <f t="shared" si="37"/>
        <v>-596.66969196895684</v>
      </c>
      <c r="AA37" s="331">
        <f t="shared" si="37"/>
        <v>-627.75548949776305</v>
      </c>
      <c r="AB37" s="332">
        <f t="shared" si="37"/>
        <v>-2414.0407090129779</v>
      </c>
      <c r="AC37" s="331">
        <f t="shared" si="37"/>
        <v>-594.46323007539138</v>
      </c>
      <c r="AD37" s="331">
        <f t="shared" si="37"/>
        <v>-595.81446814188814</v>
      </c>
      <c r="AE37" s="331">
        <f t="shared" si="37"/>
        <v>-696.89353890414964</v>
      </c>
      <c r="AF37" s="331">
        <f t="shared" si="37"/>
        <v>-627.94370141919296</v>
      </c>
      <c r="AG37" s="332">
        <f t="shared" si="37"/>
        <v>-2515.1149385406225</v>
      </c>
      <c r="AH37" s="331">
        <f t="shared" si="37"/>
        <v>-729.31411665125165</v>
      </c>
      <c r="AI37" s="331">
        <f t="shared" si="37"/>
        <v>-730.44397581405076</v>
      </c>
      <c r="AJ37" s="331">
        <f t="shared" si="37"/>
        <v>-531.41786367997861</v>
      </c>
      <c r="AK37" s="331">
        <f t="shared" si="37"/>
        <v>-4419.8738930040918</v>
      </c>
      <c r="AL37" s="332">
        <f t="shared" si="37"/>
        <v>-6411.0498491493727</v>
      </c>
      <c r="AM37" s="331">
        <f t="shared" si="37"/>
        <v>-946.20913689119186</v>
      </c>
      <c r="AN37" s="331">
        <f t="shared" si="37"/>
        <v>-946.95824443325262</v>
      </c>
      <c r="AO37" s="331">
        <f t="shared" si="37"/>
        <v>-930.16658524840727</v>
      </c>
      <c r="AP37" s="331">
        <f t="shared" si="37"/>
        <v>-946.21924031575236</v>
      </c>
      <c r="AQ37" s="332">
        <f t="shared" si="37"/>
        <v>-3769.5532068886046</v>
      </c>
      <c r="AR37" s="331">
        <f t="shared" si="37"/>
        <v>-946.39428507898015</v>
      </c>
      <c r="AS37" s="331">
        <f t="shared" si="37"/>
        <v>-946.38256726525378</v>
      </c>
      <c r="AT37" s="331">
        <f t="shared" si="37"/>
        <v>-946.75138215648644</v>
      </c>
      <c r="AU37" s="331">
        <f t="shared" si="37"/>
        <v>-960.84388750091784</v>
      </c>
      <c r="AV37" s="332">
        <f t="shared" si="37"/>
        <v>-3800.3721220016382</v>
      </c>
    </row>
    <row r="38" spans="2:48" outlineLevel="1" x14ac:dyDescent="0.3">
      <c r="B38" s="248" t="s">
        <v>296</v>
      </c>
      <c r="C38" s="249"/>
      <c r="D38" s="333">
        <f>-4.7-0.1</f>
        <v>-4.8</v>
      </c>
      <c r="E38" s="340">
        <f>18.3-0.1-D38</f>
        <v>23</v>
      </c>
      <c r="F38" s="340">
        <f>-2.5-E38-D38</f>
        <v>-20.7</v>
      </c>
      <c r="G38" s="340">
        <f>-49-F38-E38-D38</f>
        <v>-46.5</v>
      </c>
      <c r="H38" s="337">
        <f>SUM(D38:G38)</f>
        <v>-49</v>
      </c>
      <c r="I38" s="340">
        <v>27.1</v>
      </c>
      <c r="J38" s="340">
        <f>8.7-I38</f>
        <v>-18.400000000000002</v>
      </c>
      <c r="K38" s="340">
        <f>10.9-J38-I38</f>
        <v>2.2000000000000028</v>
      </c>
      <c r="L38" s="340">
        <f>64.7-K38-J38-I38</f>
        <v>53.800000000000004</v>
      </c>
      <c r="M38" s="337">
        <f>SUM(I38:L38)</f>
        <v>64.7</v>
      </c>
      <c r="N38" s="340">
        <v>79.8</v>
      </c>
      <c r="O38" s="340">
        <f>66.7-N38</f>
        <v>-13.099999999999994</v>
      </c>
      <c r="P38" s="340">
        <f>87.9-O38-N38</f>
        <v>21.200000000000003</v>
      </c>
      <c r="Q38" s="340">
        <f>86.2-P38-O38-N38</f>
        <v>-1.7000000000000028</v>
      </c>
      <c r="R38" s="337">
        <f>SUM(N38:Q38)</f>
        <v>86.2</v>
      </c>
      <c r="S38" s="340">
        <v>13</v>
      </c>
      <c r="T38" s="340">
        <f>14.6-S38</f>
        <v>1.5999999999999996</v>
      </c>
      <c r="U38" s="340">
        <f>-126.3-T38-S38</f>
        <v>-140.89999999999998</v>
      </c>
      <c r="V38" s="341">
        <v>0</v>
      </c>
      <c r="W38" s="337">
        <f>SUM(S38:V38)</f>
        <v>-126.29999999999998</v>
      </c>
      <c r="X38" s="341">
        <v>0</v>
      </c>
      <c r="Y38" s="341">
        <v>0</v>
      </c>
      <c r="Z38" s="341">
        <v>0</v>
      </c>
      <c r="AA38" s="341">
        <v>0</v>
      </c>
      <c r="AB38" s="337">
        <f>SUM(X38:AA38)</f>
        <v>0</v>
      </c>
      <c r="AC38" s="341">
        <v>0</v>
      </c>
      <c r="AD38" s="341">
        <v>0</v>
      </c>
      <c r="AE38" s="341">
        <v>0</v>
      </c>
      <c r="AF38" s="341">
        <v>0</v>
      </c>
      <c r="AG38" s="337">
        <f>SUM(AC38:AF38)</f>
        <v>0</v>
      </c>
      <c r="AH38" s="341">
        <v>0</v>
      </c>
      <c r="AI38" s="341">
        <v>0</v>
      </c>
      <c r="AJ38" s="341">
        <v>0</v>
      </c>
      <c r="AK38" s="341">
        <v>0</v>
      </c>
      <c r="AL38" s="337">
        <f>SUM(AH38:AK38)</f>
        <v>0</v>
      </c>
      <c r="AM38" s="341">
        <v>0</v>
      </c>
      <c r="AN38" s="341">
        <v>0</v>
      </c>
      <c r="AO38" s="341">
        <v>0</v>
      </c>
      <c r="AP38" s="341">
        <v>0</v>
      </c>
      <c r="AQ38" s="337">
        <f>SUM(AM38:AP38)</f>
        <v>0</v>
      </c>
      <c r="AR38" s="341">
        <v>0</v>
      </c>
      <c r="AS38" s="341">
        <v>0</v>
      </c>
      <c r="AT38" s="341">
        <v>0</v>
      </c>
      <c r="AU38" s="341">
        <v>0</v>
      </c>
      <c r="AV38" s="337">
        <f>SUM(AR38:AU38)</f>
        <v>0</v>
      </c>
    </row>
    <row r="39" spans="2:48" ht="16.2" outlineLevel="1" x14ac:dyDescent="0.45">
      <c r="B39" s="435" t="s">
        <v>297</v>
      </c>
      <c r="C39" s="436"/>
      <c r="D39" s="260">
        <f t="shared" ref="D39:AV39" si="38">D37+D27+D22+D38</f>
        <v>-3994.7999999999997</v>
      </c>
      <c r="E39" s="260">
        <f t="shared" si="38"/>
        <v>-2706.5</v>
      </c>
      <c r="F39" s="260">
        <f t="shared" si="38"/>
        <v>2708.3000000000011</v>
      </c>
      <c r="G39" s="260">
        <f t="shared" si="38"/>
        <v>-2076.7999999999993</v>
      </c>
      <c r="H39" s="261">
        <f t="shared" si="38"/>
        <v>-6069.7999999999938</v>
      </c>
      <c r="I39" s="260">
        <f t="shared" si="38"/>
        <v>353.89999999999839</v>
      </c>
      <c r="J39" s="260">
        <f t="shared" si="38"/>
        <v>-468.20000000000061</v>
      </c>
      <c r="K39" s="260">
        <f t="shared" si="38"/>
        <v>1393.600000000001</v>
      </c>
      <c r="L39" s="260">
        <f t="shared" si="38"/>
        <v>385.0000000000021</v>
      </c>
      <c r="M39" s="261">
        <f t="shared" si="38"/>
        <v>1664.3000000000052</v>
      </c>
      <c r="N39" s="260">
        <f t="shared" si="38"/>
        <v>677.2</v>
      </c>
      <c r="O39" s="260">
        <f t="shared" si="38"/>
        <v>-1147.3999999999996</v>
      </c>
      <c r="P39" s="260">
        <f t="shared" si="38"/>
        <v>872.49999999999909</v>
      </c>
      <c r="Q39" s="260">
        <f t="shared" si="38"/>
        <v>1702.5999999999997</v>
      </c>
      <c r="R39" s="261">
        <f t="shared" si="38"/>
        <v>2104.8999999999978</v>
      </c>
      <c r="S39" s="260">
        <f t="shared" si="38"/>
        <v>-2486.3000000000002</v>
      </c>
      <c r="T39" s="260">
        <f t="shared" si="38"/>
        <v>-55.999999999999567</v>
      </c>
      <c r="U39" s="260">
        <f t="shared" si="38"/>
        <v>-735.90000000000089</v>
      </c>
      <c r="V39" s="260">
        <f t="shared" si="38"/>
        <v>75.199344839386868</v>
      </c>
      <c r="W39" s="261">
        <f>W37+W27+W22+W38</f>
        <v>-3203.000655160612</v>
      </c>
      <c r="X39" s="260">
        <f>X37+X27+X22+X38</f>
        <v>411.30126706546525</v>
      </c>
      <c r="Y39" s="260">
        <f t="shared" si="38"/>
        <v>-493.19743692964744</v>
      </c>
      <c r="Z39" s="260">
        <f t="shared" si="38"/>
        <v>-228.6322973014237</v>
      </c>
      <c r="AA39" s="260">
        <f t="shared" si="38"/>
        <v>617.66495386742395</v>
      </c>
      <c r="AB39" s="261">
        <f t="shared" si="38"/>
        <v>307.13648670181828</v>
      </c>
      <c r="AC39" s="260">
        <f t="shared" si="38"/>
        <v>822.07105328675516</v>
      </c>
      <c r="AD39" s="260">
        <f t="shared" si="38"/>
        <v>-205.84194636419943</v>
      </c>
      <c r="AE39" s="260">
        <f t="shared" si="38"/>
        <v>76.696052590692489</v>
      </c>
      <c r="AF39" s="260">
        <f t="shared" si="38"/>
        <v>593.96621356435458</v>
      </c>
      <c r="AG39" s="261">
        <f t="shared" si="38"/>
        <v>1286.891373077603</v>
      </c>
      <c r="AH39" s="260">
        <f t="shared" si="38"/>
        <v>932.17510469582567</v>
      </c>
      <c r="AI39" s="260">
        <f t="shared" si="38"/>
        <v>-174.87915045224258</v>
      </c>
      <c r="AJ39" s="260">
        <f t="shared" si="38"/>
        <v>433.01225075598359</v>
      </c>
      <c r="AK39" s="260">
        <f t="shared" si="38"/>
        <v>-2716.856933145943</v>
      </c>
      <c r="AL39" s="261">
        <f t="shared" si="38"/>
        <v>-1526.5487281463775</v>
      </c>
      <c r="AM39" s="260">
        <f t="shared" si="38"/>
        <v>960.24992876304941</v>
      </c>
      <c r="AN39" s="260">
        <f t="shared" si="38"/>
        <v>-320.78090903303882</v>
      </c>
      <c r="AO39" s="260">
        <f t="shared" si="38"/>
        <v>118.21397916167734</v>
      </c>
      <c r="AP39" s="260">
        <f t="shared" si="38"/>
        <v>801.15170199553972</v>
      </c>
      <c r="AQ39" s="261">
        <f t="shared" si="38"/>
        <v>1558.8347008872261</v>
      </c>
      <c r="AR39" s="260">
        <f t="shared" si="38"/>
        <v>1154.9386502712564</v>
      </c>
      <c r="AS39" s="260">
        <f t="shared" si="38"/>
        <v>-247.01742169630211</v>
      </c>
      <c r="AT39" s="260">
        <f t="shared" si="38"/>
        <v>240.55245095708324</v>
      </c>
      <c r="AU39" s="260">
        <f t="shared" si="38"/>
        <v>880.00837851119991</v>
      </c>
      <c r="AV39" s="261">
        <f t="shared" si="38"/>
        <v>2028.4820580432361</v>
      </c>
    </row>
    <row r="40" spans="2:48" ht="16.2" outlineLevel="1" x14ac:dyDescent="0.45">
      <c r="B40" s="435" t="s">
        <v>298</v>
      </c>
      <c r="C40" s="436"/>
      <c r="D40" s="260">
        <v>8756.2999999999993</v>
      </c>
      <c r="E40" s="260">
        <f>D41</f>
        <v>4761.6000000000004</v>
      </c>
      <c r="F40" s="260">
        <f>E41</f>
        <v>2055.1000000000004</v>
      </c>
      <c r="G40" s="260">
        <f>F41</f>
        <v>4763.4000000000015</v>
      </c>
      <c r="H40" s="261">
        <f>D40</f>
        <v>8756.2999999999993</v>
      </c>
      <c r="I40" s="112">
        <f>H41</f>
        <v>2686.5000000000055</v>
      </c>
      <c r="J40" s="260">
        <f>I41</f>
        <v>3040.5000000000036</v>
      </c>
      <c r="K40" s="260">
        <f>J41</f>
        <v>2572.3000000000029</v>
      </c>
      <c r="L40" s="260">
        <f>K41</f>
        <v>3965.9000000000042</v>
      </c>
      <c r="M40" s="261">
        <f>H41</f>
        <v>2686.5000000000055</v>
      </c>
      <c r="N40" s="260">
        <f>+M41</f>
        <v>4350.8000000000102</v>
      </c>
      <c r="O40" s="260">
        <f>N41</f>
        <v>5028.00000000001</v>
      </c>
      <c r="P40" s="260">
        <f>O41</f>
        <v>3880.6000000000104</v>
      </c>
      <c r="Q40" s="260">
        <f>P41</f>
        <v>4753.1000000000095</v>
      </c>
      <c r="R40" s="261">
        <f>M41</f>
        <v>4350.8000000000102</v>
      </c>
      <c r="S40" s="260">
        <f>+R41</f>
        <v>6455.700000000008</v>
      </c>
      <c r="T40" s="260">
        <f>S41</f>
        <v>3969.4000000000078</v>
      </c>
      <c r="U40" s="260">
        <f>T41</f>
        <v>3913.4000000000083</v>
      </c>
      <c r="V40" s="260">
        <f>U41</f>
        <v>3177.5000000000073</v>
      </c>
      <c r="W40" s="261">
        <f>R41</f>
        <v>6455.700000000008</v>
      </c>
      <c r="X40" s="260">
        <f>+W41</f>
        <v>3252.699344839396</v>
      </c>
      <c r="Y40" s="260">
        <f>X41</f>
        <v>3664.0006119048612</v>
      </c>
      <c r="Z40" s="260">
        <f>Y41</f>
        <v>3170.8031749752136</v>
      </c>
      <c r="AA40" s="260">
        <f>Z41</f>
        <v>2942.1708776737896</v>
      </c>
      <c r="AB40" s="261">
        <f>W41</f>
        <v>3252.699344839396</v>
      </c>
      <c r="AC40" s="260">
        <f>+AB41</f>
        <v>3559.8358315412142</v>
      </c>
      <c r="AD40" s="260">
        <f>AC41</f>
        <v>4381.9068848279694</v>
      </c>
      <c r="AE40" s="260">
        <f>AD41</f>
        <v>4176.06493846377</v>
      </c>
      <c r="AF40" s="260">
        <f>AE41</f>
        <v>4252.7609910544625</v>
      </c>
      <c r="AG40" s="261">
        <f>AB41</f>
        <v>3559.8358315412142</v>
      </c>
      <c r="AH40" s="260">
        <f>+AG41</f>
        <v>4846.7272046188173</v>
      </c>
      <c r="AI40" s="260">
        <f>AH41</f>
        <v>5778.9023093146425</v>
      </c>
      <c r="AJ40" s="260">
        <f>AI41</f>
        <v>5604.0231588624001</v>
      </c>
      <c r="AK40" s="260">
        <f>AJ41</f>
        <v>6037.0354096183837</v>
      </c>
      <c r="AL40" s="261">
        <f>AG41</f>
        <v>4846.7272046188173</v>
      </c>
      <c r="AM40" s="260">
        <f>+AL41</f>
        <v>3320.1784764724398</v>
      </c>
      <c r="AN40" s="260">
        <f>AM41</f>
        <v>4280.4284052354888</v>
      </c>
      <c r="AO40" s="260">
        <f>AN41</f>
        <v>3959.6474962024499</v>
      </c>
      <c r="AP40" s="260">
        <f>AO41</f>
        <v>4077.8614753641273</v>
      </c>
      <c r="AQ40" s="261">
        <f>AL41</f>
        <v>3320.1784764724398</v>
      </c>
      <c r="AR40" s="260">
        <f>+AQ41</f>
        <v>4879.0131773596659</v>
      </c>
      <c r="AS40" s="260">
        <f>AR41</f>
        <v>6033.9518276309227</v>
      </c>
      <c r="AT40" s="260">
        <f>AS41</f>
        <v>5786.9344059346204</v>
      </c>
      <c r="AU40" s="260">
        <f>AT41</f>
        <v>6027.4868568917036</v>
      </c>
      <c r="AV40" s="261">
        <f>AQ41</f>
        <v>4879.0131773596659</v>
      </c>
    </row>
    <row r="41" spans="2:48" outlineLevel="1" x14ac:dyDescent="0.3">
      <c r="B41" s="476" t="s">
        <v>299</v>
      </c>
      <c r="C41" s="477"/>
      <c r="D41" s="116">
        <f>+D40+D39+0.1</f>
        <v>4761.6000000000004</v>
      </c>
      <c r="E41" s="116">
        <f>+E40+E39</f>
        <v>2055.1000000000004</v>
      </c>
      <c r="F41" s="116">
        <f>+F40+F39</f>
        <v>4763.4000000000015</v>
      </c>
      <c r="G41" s="116">
        <f>+G40+G39</f>
        <v>2686.6000000000022</v>
      </c>
      <c r="H41" s="150">
        <f>+D40+H39</f>
        <v>2686.5000000000055</v>
      </c>
      <c r="I41" s="116">
        <f>+I40+I39+0.1</f>
        <v>3040.5000000000036</v>
      </c>
      <c r="J41" s="116">
        <f>+J40+J39</f>
        <v>2572.3000000000029</v>
      </c>
      <c r="K41" s="116">
        <f>+K40+K39</f>
        <v>3965.9000000000042</v>
      </c>
      <c r="L41" s="21">
        <f>+L40+L39</f>
        <v>4350.900000000006</v>
      </c>
      <c r="M41" s="22">
        <f>+I40+M39</f>
        <v>4350.8000000000102</v>
      </c>
      <c r="N41" s="21">
        <f>+N40+N39</f>
        <v>5028.00000000001</v>
      </c>
      <c r="O41" s="21">
        <f>+O40+O39</f>
        <v>3880.6000000000104</v>
      </c>
      <c r="P41" s="21">
        <f>+P40+P39</f>
        <v>4753.1000000000095</v>
      </c>
      <c r="Q41" s="21">
        <f>+Q40+Q39</f>
        <v>6455.7000000000089</v>
      </c>
      <c r="R41" s="22">
        <f>+N40+R39</f>
        <v>6455.700000000008</v>
      </c>
      <c r="S41" s="21">
        <f>+S40+S39</f>
        <v>3969.4000000000078</v>
      </c>
      <c r="T41" s="21">
        <f>+T40+T39</f>
        <v>3913.4000000000083</v>
      </c>
      <c r="U41" s="21">
        <f>+U40+U39</f>
        <v>3177.5000000000073</v>
      </c>
      <c r="V41" s="21">
        <f>+V40+V39</f>
        <v>3252.6993448393941</v>
      </c>
      <c r="W41" s="22">
        <f>+S40+W39</f>
        <v>3252.699344839396</v>
      </c>
      <c r="X41" s="21">
        <f>+X40+X39</f>
        <v>3664.0006119048612</v>
      </c>
      <c r="Y41" s="21">
        <f>+Y40+Y39</f>
        <v>3170.8031749752136</v>
      </c>
      <c r="Z41" s="21">
        <f>+Z40+Z39</f>
        <v>2942.1708776737896</v>
      </c>
      <c r="AA41" s="21">
        <f>+AA40+AA39</f>
        <v>3559.8358315412133</v>
      </c>
      <c r="AB41" s="22">
        <f>+X40+AB39</f>
        <v>3559.8358315412142</v>
      </c>
      <c r="AC41" s="21">
        <f>+AC40+AC39</f>
        <v>4381.9068848279694</v>
      </c>
      <c r="AD41" s="21">
        <f>+AD40+AD39</f>
        <v>4176.06493846377</v>
      </c>
      <c r="AE41" s="21">
        <f>+AE40+AE39</f>
        <v>4252.7609910544625</v>
      </c>
      <c r="AF41" s="21">
        <f>+AF40+AF39</f>
        <v>4846.7272046188173</v>
      </c>
      <c r="AG41" s="22">
        <f>+AC40+AG39</f>
        <v>4846.7272046188173</v>
      </c>
      <c r="AH41" s="21">
        <f>+AH40+AH39</f>
        <v>5778.9023093146425</v>
      </c>
      <c r="AI41" s="21">
        <f>+AI40+AI39</f>
        <v>5604.0231588624001</v>
      </c>
      <c r="AJ41" s="21">
        <f>+AJ40+AJ39</f>
        <v>6037.0354096183837</v>
      </c>
      <c r="AK41" s="21">
        <f>+AK40+AK39</f>
        <v>3320.1784764724407</v>
      </c>
      <c r="AL41" s="22">
        <f>+AH40+AL39</f>
        <v>3320.1784764724398</v>
      </c>
      <c r="AM41" s="21">
        <f>+AM40+AM39</f>
        <v>4280.4284052354888</v>
      </c>
      <c r="AN41" s="21">
        <f>+AN40+AN39</f>
        <v>3959.6474962024499</v>
      </c>
      <c r="AO41" s="21">
        <f>+AO40+AO39</f>
        <v>4077.8614753641273</v>
      </c>
      <c r="AP41" s="21">
        <f>+AP40+AP39</f>
        <v>4879.0131773596668</v>
      </c>
      <c r="AQ41" s="22">
        <f>+AM40+AQ39</f>
        <v>4879.0131773596659</v>
      </c>
      <c r="AR41" s="21">
        <f>+AR40+AR39</f>
        <v>6033.9518276309227</v>
      </c>
      <c r="AS41" s="21">
        <f>+AS40+AS39</f>
        <v>5786.9344059346204</v>
      </c>
      <c r="AT41" s="21">
        <f>+AT40+AT39</f>
        <v>6027.4868568917036</v>
      </c>
      <c r="AU41" s="21">
        <f>+AU40+AU39</f>
        <v>6907.4952354029037</v>
      </c>
      <c r="AV41" s="22">
        <f>+AR40+AV39</f>
        <v>6907.4952354029019</v>
      </c>
    </row>
    <row r="42" spans="2:48" s="23" customFormat="1" outlineLevel="1" x14ac:dyDescent="0.3">
      <c r="B42" s="478" t="s">
        <v>300</v>
      </c>
      <c r="C42" s="479"/>
      <c r="D42" s="321"/>
      <c r="E42" s="321"/>
      <c r="F42" s="321"/>
      <c r="G42" s="321"/>
      <c r="H42" s="342"/>
      <c r="I42" s="321"/>
      <c r="J42" s="321"/>
      <c r="K42" s="321"/>
      <c r="L42" s="321"/>
      <c r="M42" s="342"/>
      <c r="N42" s="321"/>
      <c r="O42" s="321"/>
      <c r="P42" s="321"/>
      <c r="Q42" s="321"/>
      <c r="R42" s="342"/>
      <c r="S42" s="321"/>
      <c r="T42" s="321"/>
      <c r="U42" s="321"/>
      <c r="V42" s="321"/>
      <c r="W42" s="342"/>
      <c r="X42" s="321"/>
      <c r="Y42" s="321"/>
      <c r="Z42" s="321"/>
      <c r="AA42" s="321"/>
      <c r="AB42" s="342"/>
      <c r="AC42" s="321"/>
      <c r="AD42" s="321"/>
      <c r="AE42" s="321"/>
      <c r="AF42" s="321"/>
      <c r="AG42" s="342"/>
      <c r="AH42" s="321"/>
      <c r="AI42" s="321"/>
      <c r="AJ42" s="321"/>
      <c r="AK42" s="321"/>
      <c r="AL42" s="342"/>
      <c r="AM42" s="321"/>
      <c r="AN42" s="321"/>
      <c r="AO42" s="321"/>
      <c r="AP42" s="321"/>
      <c r="AQ42" s="342"/>
      <c r="AR42" s="321"/>
      <c r="AS42" s="321"/>
      <c r="AT42" s="321"/>
      <c r="AU42" s="321"/>
      <c r="AV42" s="342"/>
    </row>
    <row r="43" spans="2:48" s="23" customFormat="1" outlineLevel="1" x14ac:dyDescent="0.3">
      <c r="B43" s="325" t="s">
        <v>301</v>
      </c>
      <c r="C43" s="326"/>
      <c r="D43" s="327"/>
      <c r="E43" s="327"/>
      <c r="F43" s="343"/>
      <c r="G43" s="327"/>
      <c r="H43" s="328"/>
      <c r="I43" s="327"/>
      <c r="J43" s="327"/>
      <c r="K43" s="327"/>
      <c r="L43" s="327"/>
      <c r="M43" s="328"/>
      <c r="N43" s="327"/>
      <c r="O43" s="327"/>
      <c r="P43" s="327"/>
      <c r="Q43" s="327"/>
      <c r="R43" s="328"/>
      <c r="S43" s="327"/>
      <c r="T43" s="327"/>
      <c r="U43" s="327"/>
      <c r="V43" s="327"/>
      <c r="W43" s="328"/>
      <c r="X43" s="327"/>
      <c r="Y43" s="327"/>
      <c r="Z43" s="327"/>
      <c r="AA43" s="327"/>
      <c r="AB43" s="328"/>
      <c r="AC43" s="327"/>
      <c r="AD43" s="327"/>
      <c r="AE43" s="327"/>
      <c r="AF43" s="327"/>
      <c r="AG43" s="328"/>
      <c r="AH43" s="327"/>
      <c r="AI43" s="327"/>
      <c r="AJ43" s="327"/>
      <c r="AK43" s="327"/>
      <c r="AL43" s="328"/>
      <c r="AM43" s="327"/>
      <c r="AN43" s="327"/>
      <c r="AO43" s="327"/>
      <c r="AP43" s="327"/>
      <c r="AQ43" s="328"/>
      <c r="AR43" s="327"/>
      <c r="AS43" s="327"/>
      <c r="AT43" s="327"/>
      <c r="AU43" s="327"/>
      <c r="AV43" s="328"/>
    </row>
    <row r="44" spans="2:48" s="23" customFormat="1" outlineLevel="1" x14ac:dyDescent="0.3">
      <c r="B44" s="480" t="s">
        <v>302</v>
      </c>
      <c r="C44" s="481"/>
      <c r="D44" s="344"/>
      <c r="E44" s="344"/>
      <c r="F44" s="344"/>
      <c r="G44" s="344"/>
      <c r="H44" s="345"/>
      <c r="I44" s="344"/>
      <c r="J44" s="344"/>
      <c r="K44" s="344"/>
      <c r="L44" s="344"/>
      <c r="M44" s="345"/>
      <c r="N44" s="344"/>
      <c r="O44" s="344"/>
      <c r="P44" s="344"/>
      <c r="Q44" s="344"/>
      <c r="R44" s="345"/>
      <c r="S44" s="344"/>
      <c r="T44" s="344"/>
      <c r="U44" s="344"/>
      <c r="V44" s="344"/>
      <c r="W44" s="345"/>
      <c r="X44" s="344"/>
      <c r="Y44" s="344"/>
      <c r="Z44" s="344"/>
      <c r="AA44" s="344"/>
      <c r="AB44" s="345"/>
      <c r="AC44" s="344"/>
      <c r="AD44" s="344"/>
      <c r="AE44" s="344"/>
      <c r="AF44" s="344"/>
      <c r="AG44" s="345"/>
      <c r="AH44" s="344"/>
      <c r="AI44" s="344"/>
      <c r="AJ44" s="344"/>
      <c r="AK44" s="344"/>
      <c r="AL44" s="345"/>
      <c r="AM44" s="344"/>
      <c r="AN44" s="344"/>
      <c r="AO44" s="344"/>
      <c r="AP44" s="344"/>
      <c r="AQ44" s="345"/>
      <c r="AR44" s="344"/>
      <c r="AS44" s="344"/>
      <c r="AT44" s="344"/>
      <c r="AU44" s="344"/>
      <c r="AV44" s="345"/>
    </row>
    <row r="45" spans="2:48" outlineLevel="1" x14ac:dyDescent="0.3">
      <c r="B45" s="250" t="s">
        <v>303</v>
      </c>
      <c r="C45" s="249"/>
      <c r="D45" s="334"/>
      <c r="E45" s="334"/>
      <c r="F45" s="334"/>
      <c r="G45" s="334"/>
      <c r="H45" s="335"/>
      <c r="I45" s="334"/>
      <c r="J45" s="334"/>
      <c r="K45" s="334"/>
      <c r="L45" s="334"/>
      <c r="M45" s="335"/>
      <c r="N45" s="334"/>
      <c r="O45" s="334"/>
      <c r="P45" s="334"/>
      <c r="Q45" s="334"/>
      <c r="R45" s="335"/>
      <c r="S45" s="334"/>
      <c r="T45" s="334"/>
      <c r="U45" s="334"/>
      <c r="V45" s="334"/>
      <c r="W45" s="335"/>
      <c r="X45" s="334"/>
      <c r="Y45" s="334"/>
      <c r="Z45" s="334"/>
      <c r="AA45" s="334"/>
      <c r="AB45" s="335"/>
      <c r="AC45" s="334"/>
      <c r="AD45" s="334"/>
      <c r="AE45" s="334"/>
      <c r="AF45" s="334"/>
      <c r="AG45" s="335"/>
      <c r="AH45" s="334"/>
      <c r="AI45" s="334"/>
      <c r="AJ45" s="334"/>
      <c r="AK45" s="334"/>
      <c r="AL45" s="335"/>
      <c r="AM45" s="334"/>
      <c r="AN45" s="334"/>
      <c r="AO45" s="334"/>
      <c r="AP45" s="334"/>
      <c r="AQ45" s="335"/>
      <c r="AR45" s="334"/>
      <c r="AS45" s="334"/>
      <c r="AT45" s="334"/>
      <c r="AU45" s="334"/>
      <c r="AV45" s="335"/>
    </row>
    <row r="46" spans="2:48" outlineLevel="1" x14ac:dyDescent="0.3">
      <c r="B46" s="200" t="s">
        <v>304</v>
      </c>
      <c r="C46" s="201"/>
      <c r="D46" s="16">
        <f>+'BS (Bull-Case)'!D6+'BS (Bull-Case)'!D7+'BS (Bull-Case)'!D12</f>
        <v>5256.8</v>
      </c>
      <c r="E46" s="16">
        <f>+'BS (Bull-Case)'!E6+'BS (Bull-Case)'!E7+'BS (Bull-Case)'!E12</f>
        <v>2383.6000000000004</v>
      </c>
      <c r="F46" s="16">
        <f>+'BS (Bull-Case)'!F6+'BS (Bull-Case)'!F7+'BS (Bull-Case)'!F12</f>
        <v>5058.1000000000022</v>
      </c>
      <c r="G46" s="16">
        <f>+'BS (Bull-Case)'!G6+'BS (Bull-Case)'!G7+'BS (Bull-Case)'!G12</f>
        <v>2977.1000000000022</v>
      </c>
      <c r="H46" s="17">
        <f>+'BS (Bull-Case)'!H6+'BS (Bull-Case)'!H7+'BS (Bull-Case)'!H12</f>
        <v>2977.1000000000022</v>
      </c>
      <c r="I46" s="16">
        <f>+'BS (Bull-Case)'!I6+'BS (Bull-Case)'!I7+'BS (Bull-Case)'!I12</f>
        <v>3308.7000000000039</v>
      </c>
      <c r="J46" s="16">
        <f>+'BS (Bull-Case)'!J6+'BS (Bull-Case)'!J7+'BS (Bull-Case)'!J12</f>
        <v>2824.0000000000032</v>
      </c>
      <c r="K46" s="16">
        <f>+'BS (Bull-Case)'!K6+'BS (Bull-Case)'!K7+'BS (Bull-Case)'!K12</f>
        <v>4419.2000000000035</v>
      </c>
      <c r="L46" s="16">
        <f>+'BS (Bull-Case)'!L6+'BS (Bull-Case)'!L7+'BS (Bull-Case)'!L12</f>
        <v>4838.2000000000062</v>
      </c>
      <c r="M46" s="17">
        <f>+'BS (Bull-Case)'!M6+'BS (Bull-Case)'!M7+'BS (Bull-Case)'!M12</f>
        <v>4838.2000000000062</v>
      </c>
      <c r="N46" s="16">
        <f>+'BS (Bull-Case)'!N6+'BS (Bull-Case)'!N7+'BS (Bull-Case)'!N12</f>
        <v>5454.4000000000096</v>
      </c>
      <c r="O46" s="16">
        <f>+'BS (Bull-Case)'!O6+'BS (Bull-Case)'!O7+'BS (Bull-Case)'!O12</f>
        <v>4288.4000000000106</v>
      </c>
      <c r="P46" s="16">
        <f>+'BS (Bull-Case)'!P6+'BS (Bull-Case)'!P7+'BS (Bull-Case)'!P12</f>
        <v>5192.6000000000095</v>
      </c>
      <c r="Q46" s="16">
        <f>+'BS (Bull-Case)'!Q6+'BS (Bull-Case)'!Q7+'BS (Bull-Case)'!Q12</f>
        <v>6899.6000000000085</v>
      </c>
      <c r="R46" s="17">
        <f>+'BS (Bull-Case)'!R6+'BS (Bull-Case)'!R7+'BS (Bull-Case)'!R12</f>
        <v>6899.6000000000085</v>
      </c>
      <c r="S46" s="16">
        <f>+'BS (Bull-Case)'!S6+'BS (Bull-Case)'!S7+'BS (Bull-Case)'!S12</f>
        <v>4356.4000000000078</v>
      </c>
      <c r="T46" s="16">
        <f>+'BS (Bull-Case)'!T6+'BS (Bull-Case)'!T7+'BS (Bull-Case)'!T12</f>
        <v>4281.1000000000085</v>
      </c>
      <c r="U46" s="16">
        <f>+'BS (Bull-Case)'!U6+'BS (Bull-Case)'!U7+'BS (Bull-Case)'!U12</f>
        <v>3546.9000000000074</v>
      </c>
      <c r="V46" s="16">
        <f>+'BS (Bull-Case)'!V6+'BS (Bull-Case)'!V7+'BS (Bull-Case)'!V12</f>
        <v>3626.225344197559</v>
      </c>
      <c r="W46" s="17">
        <f>+'BS (Bull-Case)'!W6+'BS (Bull-Case)'!W7+'BS (Bull-Case)'!W12</f>
        <v>3626.225344197559</v>
      </c>
      <c r="X46" s="16">
        <f>+'BS (Bull-Case)'!X6+'BS (Bull-Case)'!X7+'BS (Bull-Case)'!X12</f>
        <v>4042.2141178462462</v>
      </c>
      <c r="Y46" s="16">
        <f>+'BS (Bull-Case)'!Y6+'BS (Bull-Case)'!Y7+'BS (Bull-Case)'!Y12</f>
        <v>3545.2239217825941</v>
      </c>
      <c r="Z46" s="16">
        <f>+'BS (Bull-Case)'!Z6+'BS (Bull-Case)'!Z7+'BS (Bull-Case)'!Z12</f>
        <v>3328.0581328215076</v>
      </c>
      <c r="AA46" s="16">
        <f>+'BS (Bull-Case)'!AA6+'BS (Bull-Case)'!AA7+'BS (Bull-Case)'!AA12</f>
        <v>3950.1857700366709</v>
      </c>
      <c r="AB46" s="17">
        <f>+'BS (Bull-Case)'!AB6+'BS (Bull-Case)'!AB7+'BS (Bull-Case)'!AB12</f>
        <v>3950.1857700366709</v>
      </c>
      <c r="AC46" s="16">
        <f>+'BS (Bull-Case)'!AC6+'BS (Bull-Case)'!AC7+'BS (Bull-Case)'!AC12</f>
        <v>4786.7944061584685</v>
      </c>
      <c r="AD46" s="16">
        <f>+'BS (Bull-Case)'!AD6+'BS (Bull-Case)'!AD7+'BS (Bull-Case)'!AD12</f>
        <v>4580.8765323408734</v>
      </c>
      <c r="AE46" s="16">
        <f>+'BS (Bull-Case)'!AE6+'BS (Bull-Case)'!AE7+'BS (Bull-Case)'!AE12</f>
        <v>4667.5247206907479</v>
      </c>
      <c r="AF46" s="16">
        <f>+'BS (Bull-Case)'!AF6+'BS (Bull-Case)'!AF7+'BS (Bull-Case)'!AF12</f>
        <v>5267.351417405258</v>
      </c>
      <c r="AG46" s="17">
        <f>+'BS (Bull-Case)'!AG6+'BS (Bull-Case)'!AG7+'BS (Bull-Case)'!AG12</f>
        <v>5267.351417405258</v>
      </c>
      <c r="AH46" s="16">
        <f>+'BS (Bull-Case)'!AH6+'BS (Bull-Case)'!AH7+'BS (Bull-Case)'!AH12</f>
        <v>6216.8820901349691</v>
      </c>
      <c r="AI46" s="16">
        <f>+'BS (Bull-Case)'!AI6+'BS (Bull-Case)'!AI7+'BS (Bull-Case)'!AI12</f>
        <v>6042.8391158643281</v>
      </c>
      <c r="AJ46" s="16">
        <f>+'BS (Bull-Case)'!AJ6+'BS (Bull-Case)'!AJ7+'BS (Bull-Case)'!AJ12</f>
        <v>6492.2348145927017</v>
      </c>
      <c r="AK46" s="16">
        <f>+'BS (Bull-Case)'!AK6+'BS (Bull-Case)'!AK7+'BS (Bull-Case)'!AK12</f>
        <v>3734.3622176643771</v>
      </c>
      <c r="AL46" s="17">
        <f>+'BS (Bull-Case)'!AL6+'BS (Bull-Case)'!AL7+'BS (Bull-Case)'!AL12</f>
        <v>3734.3622176643771</v>
      </c>
      <c r="AM46" s="16">
        <f>+'BS (Bull-Case)'!AM6+'BS (Bull-Case)'!AM7+'BS (Bull-Case)'!AM12</f>
        <v>4711.1841041070993</v>
      </c>
      <c r="AN46" s="16">
        <f>+'BS (Bull-Case)'!AN6+'BS (Bull-Case)'!AN7+'BS (Bull-Case)'!AN12</f>
        <v>4389.0980160411646</v>
      </c>
      <c r="AO46" s="16">
        <f>+'BS (Bull-Case)'!AO6+'BS (Bull-Case)'!AO7+'BS (Bull-Case)'!AO12</f>
        <v>4520.1732672514408</v>
      </c>
      <c r="AP46" s="16">
        <f>+'BS (Bull-Case)'!AP6+'BS (Bull-Case)'!AP7+'BS (Bull-Case)'!AP12</f>
        <v>5327.6896312202698</v>
      </c>
      <c r="AQ46" s="17">
        <f>+'BS (Bull-Case)'!AQ6+'BS (Bull-Case)'!AQ7+'BS (Bull-Case)'!AQ12</f>
        <v>5327.6896312202698</v>
      </c>
      <c r="AR46" s="16">
        <f>+'BS (Bull-Case)'!AR6+'BS (Bull-Case)'!AR7+'BS (Bull-Case)'!AR12</f>
        <v>6501.19973335549</v>
      </c>
      <c r="AS46" s="16">
        <f>+'BS (Bull-Case)'!AS6+'BS (Bull-Case)'!AS7+'BS (Bull-Case)'!AS12</f>
        <v>6253.751621684617</v>
      </c>
      <c r="AT46" s="16">
        <f>+'BS (Bull-Case)'!AT6+'BS (Bull-Case)'!AT7+'BS (Bull-Case)'!AT12</f>
        <v>6508.6689519498086</v>
      </c>
      <c r="AU46" s="16">
        <f>+'BS (Bull-Case)'!AU6+'BS (Bull-Case)'!AU7+'BS (Bull-Case)'!AU12</f>
        <v>7396.419281733185</v>
      </c>
      <c r="AV46" s="17">
        <f>+'BS (Bull-Case)'!AV6+'BS (Bull-Case)'!AV7+'BS (Bull-Case)'!AV12</f>
        <v>7396.419281733185</v>
      </c>
    </row>
    <row r="47" spans="2:48" outlineLevel="1" x14ac:dyDescent="0.3">
      <c r="B47" s="200" t="s">
        <v>305</v>
      </c>
      <c r="C47" s="201"/>
      <c r="D47" s="16">
        <f>'BS (Bull-Case)'!D28+'BS (Bull-Case)'!D31</f>
        <v>9130.7000000000007</v>
      </c>
      <c r="E47" s="16">
        <f>'BS (Bull-Case)'!E28+'BS (Bull-Case)'!E31</f>
        <v>9216.5</v>
      </c>
      <c r="F47" s="16">
        <f>'BS (Bull-Case)'!F28+'BS (Bull-Case)'!F31</f>
        <v>11159.1</v>
      </c>
      <c r="G47" s="16">
        <f>'BS (Bull-Case)'!G28+'BS (Bull-Case)'!G31</f>
        <v>11167</v>
      </c>
      <c r="H47" s="17">
        <f>'BS (Bull-Case)'!H28+'BS (Bull-Case)'!H31</f>
        <v>11167</v>
      </c>
      <c r="I47" s="16">
        <f>'BS (Bull-Case)'!I28+'BS (Bull-Case)'!I31</f>
        <v>11649.800000000001</v>
      </c>
      <c r="J47" s="16">
        <f>'BS (Bull-Case)'!J28+'BS (Bull-Case)'!J31</f>
        <v>14015.2</v>
      </c>
      <c r="K47" s="16">
        <f>'BS (Bull-Case)'!K28+'BS (Bull-Case)'!K31</f>
        <v>16831.7</v>
      </c>
      <c r="L47" s="16">
        <f>'BS (Bull-Case)'!L28+'BS (Bull-Case)'!L31</f>
        <v>16348.300000000001</v>
      </c>
      <c r="M47" s="17">
        <f>'BS (Bull-Case)'!M28+'BS (Bull-Case)'!M31</f>
        <v>16348.300000000001</v>
      </c>
      <c r="N47" s="16">
        <f>'BS (Bull-Case)'!N28+'BS (Bull-Case)'!N31</f>
        <v>15916.1</v>
      </c>
      <c r="O47" s="16">
        <f>'BS (Bull-Case)'!O28+'BS (Bull-Case)'!O31</f>
        <v>14648.599999999999</v>
      </c>
      <c r="P47" s="16">
        <f>'BS (Bull-Case)'!P28+'BS (Bull-Case)'!P31</f>
        <v>14618.1</v>
      </c>
      <c r="Q47" s="16">
        <f>'BS (Bull-Case)'!Q28+'BS (Bull-Case)'!Q31</f>
        <v>14615.8</v>
      </c>
      <c r="R47" s="17">
        <f>'BS (Bull-Case)'!R28+'BS (Bull-Case)'!R31</f>
        <v>14615.8</v>
      </c>
      <c r="S47" s="16">
        <f>'BS (Bull-Case)'!S28+'BS (Bull-Case)'!S31</f>
        <v>14785.599999999999</v>
      </c>
      <c r="T47" s="16">
        <f>'BS (Bull-Case)'!T28+'BS (Bull-Case)'!T31</f>
        <v>16013</v>
      </c>
      <c r="U47" s="16">
        <f>'BS (Bull-Case)'!U28+'BS (Bull-Case)'!U31</f>
        <v>15129.9</v>
      </c>
      <c r="V47" s="16">
        <f>'BS (Bull-Case)'!V28+'BS (Bull-Case)'!V31</f>
        <v>14930.9</v>
      </c>
      <c r="W47" s="17">
        <f>'BS (Bull-Case)'!W28+'BS (Bull-Case)'!W31</f>
        <v>14930.9</v>
      </c>
      <c r="X47" s="16">
        <f>'BS (Bull-Case)'!X28+'BS (Bull-Case)'!X31</f>
        <v>14930.9</v>
      </c>
      <c r="Y47" s="16">
        <f>'BS (Bull-Case)'!Y28+'BS (Bull-Case)'!Y31</f>
        <v>14930.9</v>
      </c>
      <c r="Z47" s="16">
        <f>'BS (Bull-Case)'!Z28+'BS (Bull-Case)'!Z31</f>
        <v>14930.9</v>
      </c>
      <c r="AA47" s="16">
        <f>'BS (Bull-Case)'!AA28+'BS (Bull-Case)'!AA31</f>
        <v>14930.9</v>
      </c>
      <c r="AB47" s="17">
        <f>'BS (Bull-Case)'!AB28+'BS (Bull-Case)'!AB31</f>
        <v>14930.9</v>
      </c>
      <c r="AC47" s="16">
        <f>'BS (Bull-Case)'!AC28+'BS (Bull-Case)'!AC31</f>
        <v>14930.9</v>
      </c>
      <c r="AD47" s="16">
        <f>'BS (Bull-Case)'!AD28+'BS (Bull-Case)'!AD31</f>
        <v>14930.6</v>
      </c>
      <c r="AE47" s="16">
        <f>'BS (Bull-Case)'!AE28+'BS (Bull-Case)'!AE31</f>
        <v>14930.6</v>
      </c>
      <c r="AF47" s="16">
        <f>'BS (Bull-Case)'!AF28+'BS (Bull-Case)'!AF31</f>
        <v>15030.6</v>
      </c>
      <c r="AG47" s="17">
        <f>'BS (Bull-Case)'!AG28+'BS (Bull-Case)'!AG31</f>
        <v>15030.6</v>
      </c>
      <c r="AH47" s="16">
        <f>'BS (Bull-Case)'!AH28+'BS (Bull-Case)'!AH31</f>
        <v>15030.6</v>
      </c>
      <c r="AI47" s="16">
        <f>'BS (Bull-Case)'!AI28+'BS (Bull-Case)'!AI31</f>
        <v>15030.6</v>
      </c>
      <c r="AJ47" s="16">
        <f>'BS (Bull-Case)'!AJ28+'BS (Bull-Case)'!AJ31</f>
        <v>18855.233937138964</v>
      </c>
      <c r="AK47" s="16">
        <f>'BS (Bull-Case)'!AK28+'BS (Bull-Case)'!AK31</f>
        <v>18855.233937138964</v>
      </c>
      <c r="AL47" s="17">
        <f>'BS (Bull-Case)'!AL28+'BS (Bull-Case)'!AL31</f>
        <v>18855.233937138964</v>
      </c>
      <c r="AM47" s="16">
        <f>'BS (Bull-Case)'!AM28+'BS (Bull-Case)'!AM31</f>
        <v>18855.233937138964</v>
      </c>
      <c r="AN47" s="16">
        <f>'BS (Bull-Case)'!AN28+'BS (Bull-Case)'!AN31</f>
        <v>18855.233937138964</v>
      </c>
      <c r="AO47" s="16">
        <f>'BS (Bull-Case)'!AO28+'BS (Bull-Case)'!AO31</f>
        <v>18855.233937138964</v>
      </c>
      <c r="AP47" s="16">
        <f>'BS (Bull-Case)'!AP28+'BS (Bull-Case)'!AP31</f>
        <v>18855.233937138964</v>
      </c>
      <c r="AQ47" s="17">
        <f>'BS (Bull-Case)'!AQ28+'BS (Bull-Case)'!AQ31</f>
        <v>18855.233937138964</v>
      </c>
      <c r="AR47" s="16">
        <f>'BS (Bull-Case)'!AR28+'BS (Bull-Case)'!AR31</f>
        <v>18855.233937138964</v>
      </c>
      <c r="AS47" s="16">
        <f>'BS (Bull-Case)'!AS28+'BS (Bull-Case)'!AS31</f>
        <v>18855.233937138964</v>
      </c>
      <c r="AT47" s="16">
        <f>'BS (Bull-Case)'!AT28+'BS (Bull-Case)'!AT31</f>
        <v>18855.233937138964</v>
      </c>
      <c r="AU47" s="16">
        <f>'BS (Bull-Case)'!AU28+'BS (Bull-Case)'!AU31</f>
        <v>18855.233937138964</v>
      </c>
      <c r="AV47" s="17">
        <f>'BS (Bull-Case)'!AV28+'BS (Bull-Case)'!AV31</f>
        <v>18855.233937138964</v>
      </c>
    </row>
    <row r="48" spans="2:48" outlineLevel="1" x14ac:dyDescent="0.3">
      <c r="B48" s="482" t="s">
        <v>306</v>
      </c>
      <c r="C48" s="483"/>
      <c r="D48" s="346">
        <f>(D46-D47)/'IS (Bull-Case)'!D31</f>
        <v>-3.0907132599329823</v>
      </c>
      <c r="E48" s="346">
        <f>(E46-E47)/'IS (Bull-Case)'!E31</f>
        <v>-5.4632605740785154</v>
      </c>
      <c r="F48" s="346">
        <f>(F46-F47)/'IS (Bull-Case)'!F31</f>
        <v>-4.9885527391659839</v>
      </c>
      <c r="G48" s="346">
        <f>(G46-G47)/'IS (Bull-Case)'!G31</f>
        <v>-6.6975821179389685</v>
      </c>
      <c r="H48" s="347">
        <f>(H46-H47)/'IS (Bull-Case)'!H31</f>
        <v>-6.6411774245864397</v>
      </c>
      <c r="I48" s="346">
        <f>(I46-I47)/'IS (Bull-Case)'!I31</f>
        <v>-7.0034424853064623</v>
      </c>
      <c r="J48" s="346">
        <f>(J46-J47)/'IS (Bull-Case)'!J31</f>
        <v>-9.4784449902600123</v>
      </c>
      <c r="K48" s="346">
        <f>(K46-K47)/'IS (Bull-Case)'!K31</f>
        <v>-10.62259306803594</v>
      </c>
      <c r="L48" s="346">
        <f>(L46-L47)/'IS (Bull-Case)'!L31</f>
        <v>-9.7625954198473242</v>
      </c>
      <c r="M48" s="347">
        <f>(M46-M47)/'IS (Bull-Case)'!M31</f>
        <v>-9.6019593007244595</v>
      </c>
      <c r="N48" s="346">
        <f>(N46-N47)/'IS (Bull-Case)'!N31</f>
        <v>-8.8433643279797032</v>
      </c>
      <c r="O48" s="346">
        <f>(O46-O47)/'IS (Bull-Case)'!O31</f>
        <v>-8.7442606347062704</v>
      </c>
      <c r="P48" s="346">
        <f>(P46-P47)/'IS (Bull-Case)'!P31</f>
        <v>-7.9459618951272892</v>
      </c>
      <c r="Q48" s="346">
        <f>(Q46-Q47)/'IS (Bull-Case)'!Q31</f>
        <v>-6.4956646182338496</v>
      </c>
      <c r="R48" s="347">
        <f>(R46-R47)/'IS (Bull-Case)'!R31</f>
        <v>-6.504862503325251</v>
      </c>
      <c r="S48" s="346">
        <f>(S46-S47)/'IS (Bull-Case)'!S31</f>
        <v>-8.8638449770525156</v>
      </c>
      <c r="T48" s="346">
        <f>(T46-T47)/'IS (Bull-Case)'!T31</f>
        <v>-10.167172198630722</v>
      </c>
      <c r="U48" s="346">
        <f>(U46-U47)/'IS (Bull-Case)'!U31</f>
        <v>-10.06342311033883</v>
      </c>
      <c r="V48" s="346">
        <f>(V46-V47)/'IS (Bull-Case)'!V31</f>
        <v>-9.8117995434647387</v>
      </c>
      <c r="W48" s="347">
        <f>(W46-W47)/'IS (Bull-Case)'!W31</f>
        <v>-9.7581506396475532</v>
      </c>
      <c r="X48" s="346">
        <f>(X46-X47)/'IS (Bull-Case)'!X31</f>
        <v>-9.4413041989111477</v>
      </c>
      <c r="Y48" s="346">
        <f>(Y46-Y47)/'IS (Bull-Case)'!Y31</f>
        <v>-9.8623694616446684</v>
      </c>
      <c r="Z48" s="346">
        <f>(Z46-Z47)/'IS (Bull-Case)'!Z31</f>
        <v>-10.040439875305882</v>
      </c>
      <c r="AA48" s="346">
        <f>(AA46-AA47)/'IS (Bull-Case)'!AA31</f>
        <v>-9.4925933848559865</v>
      </c>
      <c r="AB48" s="347">
        <f>(AB46-AB47)/'IS (Bull-Case)'!AB31</f>
        <v>-9.5054763596539935</v>
      </c>
      <c r="AC48" s="346">
        <f>(AC46-AC47)/'IS (Bull-Case)'!AC31</f>
        <v>-8.7606024497842316</v>
      </c>
      <c r="AD48" s="346">
        <f>(AD46-AD47)/'IS (Bull-Case)'!AD31</f>
        <v>-8.9292478961203425</v>
      </c>
      <c r="AE48" s="346">
        <f>(AE46-AE47)/'IS (Bull-Case)'!AE31</f>
        <v>-8.8525358802406142</v>
      </c>
      <c r="AF48" s="346">
        <f>(AF46-AF47)/'IS (Bull-Case)'!AF31</f>
        <v>-8.4195426404875189</v>
      </c>
      <c r="AG48" s="347">
        <f>(AG46-AG47)/'IS (Bull-Case)'!AG31</f>
        <v>-8.4239679908879026</v>
      </c>
      <c r="AH48" s="346">
        <f>(AH46-AH47)/'IS (Bull-Case)'!AH31</f>
        <v>-7.5985417917462152</v>
      </c>
      <c r="AI48" s="346">
        <f>(AI46-AI47)/'IS (Bull-Case)'!AI31</f>
        <v>-7.7463923107166224</v>
      </c>
      <c r="AJ48" s="346">
        <f>(AJ46-AJ47)/'IS (Bull-Case)'!AJ31</f>
        <v>-10.93626239864974</v>
      </c>
      <c r="AK48" s="346">
        <f>(AK46-AK47)/'IS (Bull-Case)'!AK31</f>
        <v>-13.738284506285217</v>
      </c>
      <c r="AL48" s="347">
        <f>(AL46-AL47)/'IS (Bull-Case)'!AL31</f>
        <v>-13.302731881574534</v>
      </c>
      <c r="AM48" s="346">
        <f>(AM46-AM47)/'IS (Bull-Case)'!AM31</f>
        <v>-12.861210751651347</v>
      </c>
      <c r="AN48" s="346">
        <f>(AN46-AN47)/'IS (Bull-Case)'!AN31</f>
        <v>-13.164781567360029</v>
      </c>
      <c r="AO48" s="346">
        <f>(AO46-AO47)/'IS (Bull-Case)'!AO31</f>
        <v>-13.056125964567077</v>
      </c>
      <c r="AP48" s="346">
        <f>(AP46-AP47)/'IS (Bull-Case)'!AP31</f>
        <v>-12.330709985298574</v>
      </c>
      <c r="AQ48" s="347">
        <f>(AQ46-AQ47)/'IS (Bull-Case)'!AQ31</f>
        <v>-12.315947184751227</v>
      </c>
      <c r="AR48" s="346">
        <f>(AR46-AR47)/'IS (Bull-Case)'!AR31</f>
        <v>-11.269830879056475</v>
      </c>
      <c r="AS48" s="346">
        <f>(AS46-AS47)/'IS (Bull-Case)'!AS31</f>
        <v>-11.504568128040834</v>
      </c>
      <c r="AT48" s="346">
        <f>(AT46-AT47)/'IS (Bull-Case)'!AT31</f>
        <v>-11.280686400081676</v>
      </c>
      <c r="AU48" s="346">
        <f>(AU46-AU47)/'IS (Bull-Case)'!AU31</f>
        <v>-10.477806563620462</v>
      </c>
      <c r="AV48" s="347">
        <f>(AV46-AV47)/'IS (Bull-Case)'!AV31</f>
        <v>-10.465723352481737</v>
      </c>
    </row>
    <row r="49" spans="2:48" x14ac:dyDescent="0.3">
      <c r="B49" s="484"/>
      <c r="C49" s="484"/>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348"/>
      <c r="AP49" s="348"/>
      <c r="AQ49" s="348"/>
      <c r="AR49" s="348"/>
      <c r="AS49" s="348"/>
      <c r="AT49" s="348"/>
      <c r="AU49" s="348"/>
      <c r="AV49" s="348"/>
    </row>
    <row r="50" spans="2:48" ht="15.6" x14ac:dyDescent="0.3">
      <c r="B50" s="433" t="s">
        <v>307</v>
      </c>
      <c r="C50" s="434"/>
      <c r="D50" s="13" t="s">
        <v>15</v>
      </c>
      <c r="E50" s="13" t="s">
        <v>82</v>
      </c>
      <c r="F50" s="13" t="s">
        <v>84</v>
      </c>
      <c r="G50" s="13" t="s">
        <v>147</v>
      </c>
      <c r="H50" s="39" t="s">
        <v>147</v>
      </c>
      <c r="I50" s="13" t="s">
        <v>146</v>
      </c>
      <c r="J50" s="13" t="s">
        <v>145</v>
      </c>
      <c r="K50" s="13" t="s">
        <v>144</v>
      </c>
      <c r="L50" s="13" t="s">
        <v>141</v>
      </c>
      <c r="M50" s="39" t="s">
        <v>141</v>
      </c>
      <c r="N50" s="13" t="s">
        <v>148</v>
      </c>
      <c r="O50" s="13" t="s">
        <v>156</v>
      </c>
      <c r="P50" s="13" t="s">
        <v>158</v>
      </c>
      <c r="Q50" s="13" t="s">
        <v>171</v>
      </c>
      <c r="R50" s="39" t="s">
        <v>171</v>
      </c>
      <c r="S50" s="13" t="s">
        <v>187</v>
      </c>
      <c r="T50" s="13" t="s">
        <v>190</v>
      </c>
      <c r="U50" s="13" t="s">
        <v>203</v>
      </c>
      <c r="V50" s="15" t="s">
        <v>20</v>
      </c>
      <c r="W50" s="41" t="s">
        <v>20</v>
      </c>
      <c r="X50" s="15" t="s">
        <v>21</v>
      </c>
      <c r="Y50" s="15" t="s">
        <v>22</v>
      </c>
      <c r="Z50" s="15" t="s">
        <v>23</v>
      </c>
      <c r="AA50" s="15" t="s">
        <v>24</v>
      </c>
      <c r="AB50" s="41" t="s">
        <v>24</v>
      </c>
      <c r="AC50" s="15" t="s">
        <v>86</v>
      </c>
      <c r="AD50" s="15" t="s">
        <v>87</v>
      </c>
      <c r="AE50" s="15" t="s">
        <v>88</v>
      </c>
      <c r="AF50" s="15" t="s">
        <v>89</v>
      </c>
      <c r="AG50" s="41" t="s">
        <v>89</v>
      </c>
      <c r="AH50" s="15" t="s">
        <v>105</v>
      </c>
      <c r="AI50" s="15" t="s">
        <v>106</v>
      </c>
      <c r="AJ50" s="15" t="s">
        <v>107</v>
      </c>
      <c r="AK50" s="15" t="s">
        <v>108</v>
      </c>
      <c r="AL50" s="41" t="s">
        <v>108</v>
      </c>
      <c r="AM50" s="15" t="s">
        <v>160</v>
      </c>
      <c r="AN50" s="15" t="s">
        <v>161</v>
      </c>
      <c r="AO50" s="15" t="s">
        <v>162</v>
      </c>
      <c r="AP50" s="15" t="s">
        <v>163</v>
      </c>
      <c r="AQ50" s="41" t="s">
        <v>163</v>
      </c>
      <c r="AR50" s="15" t="s">
        <v>191</v>
      </c>
      <c r="AS50" s="15" t="s">
        <v>192</v>
      </c>
      <c r="AT50" s="15" t="s">
        <v>193</v>
      </c>
      <c r="AU50" s="15" t="s">
        <v>194</v>
      </c>
      <c r="AV50" s="41" t="s">
        <v>194</v>
      </c>
    </row>
    <row r="51" spans="2:48" ht="16.2" x14ac:dyDescent="0.45">
      <c r="B51" s="467"/>
      <c r="C51" s="468"/>
      <c r="D51" s="14" t="s">
        <v>19</v>
      </c>
      <c r="E51" s="14" t="s">
        <v>81</v>
      </c>
      <c r="F51" s="14" t="s">
        <v>85</v>
      </c>
      <c r="G51" s="14" t="s">
        <v>95</v>
      </c>
      <c r="H51" s="40" t="s">
        <v>96</v>
      </c>
      <c r="I51" s="14" t="s">
        <v>97</v>
      </c>
      <c r="J51" s="14" t="s">
        <v>98</v>
      </c>
      <c r="K51" s="14" t="s">
        <v>99</v>
      </c>
      <c r="L51" s="14" t="s">
        <v>142</v>
      </c>
      <c r="M51" s="40" t="s">
        <v>143</v>
      </c>
      <c r="N51" s="14" t="s">
        <v>149</v>
      </c>
      <c r="O51" s="14" t="s">
        <v>157</v>
      </c>
      <c r="P51" s="14" t="s">
        <v>159</v>
      </c>
      <c r="Q51" s="14" t="s">
        <v>172</v>
      </c>
      <c r="R51" s="40" t="s">
        <v>173</v>
      </c>
      <c r="S51" s="14" t="s">
        <v>188</v>
      </c>
      <c r="T51" s="14" t="s">
        <v>189</v>
      </c>
      <c r="U51" s="14" t="s">
        <v>204</v>
      </c>
      <c r="V51" s="12" t="s">
        <v>25</v>
      </c>
      <c r="W51" s="42" t="s">
        <v>26</v>
      </c>
      <c r="X51" s="12" t="s">
        <v>27</v>
      </c>
      <c r="Y51" s="12" t="s">
        <v>28</v>
      </c>
      <c r="Z51" s="12" t="s">
        <v>29</v>
      </c>
      <c r="AA51" s="12" t="s">
        <v>30</v>
      </c>
      <c r="AB51" s="42" t="s">
        <v>31</v>
      </c>
      <c r="AC51" s="12" t="s">
        <v>90</v>
      </c>
      <c r="AD51" s="12" t="s">
        <v>91</v>
      </c>
      <c r="AE51" s="12" t="s">
        <v>92</v>
      </c>
      <c r="AF51" s="12" t="s">
        <v>93</v>
      </c>
      <c r="AG51" s="42" t="s">
        <v>94</v>
      </c>
      <c r="AH51" s="12" t="s">
        <v>109</v>
      </c>
      <c r="AI51" s="12" t="s">
        <v>110</v>
      </c>
      <c r="AJ51" s="12" t="s">
        <v>111</v>
      </c>
      <c r="AK51" s="12" t="s">
        <v>112</v>
      </c>
      <c r="AL51" s="42" t="s">
        <v>113</v>
      </c>
      <c r="AM51" s="12" t="s">
        <v>164</v>
      </c>
      <c r="AN51" s="12" t="s">
        <v>165</v>
      </c>
      <c r="AO51" s="12" t="s">
        <v>166</v>
      </c>
      <c r="AP51" s="12" t="s">
        <v>167</v>
      </c>
      <c r="AQ51" s="42" t="s">
        <v>168</v>
      </c>
      <c r="AR51" s="12" t="s">
        <v>195</v>
      </c>
      <c r="AS51" s="12" t="s">
        <v>196</v>
      </c>
      <c r="AT51" s="12" t="s">
        <v>197</v>
      </c>
      <c r="AU51" s="12" t="s">
        <v>198</v>
      </c>
      <c r="AV51" s="42" t="s">
        <v>199</v>
      </c>
    </row>
    <row r="52" spans="2:48" ht="16.2" outlineLevel="1" x14ac:dyDescent="0.45">
      <c r="B52" s="457" t="s">
        <v>308</v>
      </c>
      <c r="C52" s="458"/>
      <c r="D52" s="349"/>
      <c r="E52" s="349"/>
      <c r="F52" s="349"/>
      <c r="G52" s="349"/>
      <c r="H52" s="350"/>
      <c r="I52" s="349"/>
      <c r="J52" s="349"/>
      <c r="K52" s="349"/>
      <c r="L52" s="349"/>
      <c r="M52" s="350"/>
      <c r="N52" s="349"/>
      <c r="O52" s="349"/>
      <c r="P52" s="349"/>
      <c r="Q52" s="349"/>
      <c r="R52" s="350"/>
      <c r="S52" s="349"/>
      <c r="T52" s="349"/>
      <c r="U52" s="349"/>
      <c r="V52" s="349"/>
      <c r="W52" s="350"/>
      <c r="X52" s="349"/>
      <c r="Y52" s="349"/>
      <c r="Z52" s="349"/>
      <c r="AA52" s="349"/>
      <c r="AB52" s="350"/>
      <c r="AC52" s="349"/>
      <c r="AD52" s="349"/>
      <c r="AE52" s="349"/>
      <c r="AF52" s="349"/>
      <c r="AG52" s="350"/>
      <c r="AH52" s="349"/>
      <c r="AI52" s="349"/>
      <c r="AJ52" s="349"/>
      <c r="AK52" s="349"/>
      <c r="AL52" s="350"/>
      <c r="AM52" s="349"/>
      <c r="AN52" s="349"/>
      <c r="AO52" s="349"/>
      <c r="AP52" s="349"/>
      <c r="AQ52" s="350"/>
      <c r="AR52" s="349"/>
      <c r="AS52" s="349"/>
      <c r="AT52" s="349"/>
      <c r="AU52" s="349"/>
      <c r="AV52" s="350"/>
    </row>
    <row r="53" spans="2:48" s="23" customFormat="1" outlineLevel="1" x14ac:dyDescent="0.3">
      <c r="B53" s="200" t="s">
        <v>309</v>
      </c>
      <c r="C53" s="201"/>
      <c r="D53" s="351">
        <f>D12/'IS (Bull-Case)'!D8</f>
        <v>1.4669742337208073E-2</v>
      </c>
      <c r="E53" s="281">
        <f>E12/'IS (Bull-Case)'!E8</f>
        <v>1.5033540018078308E-2</v>
      </c>
      <c r="F53" s="113">
        <f>F12/'IS (Bull-Case)'!F8</f>
        <v>9.2774439396160081E-3</v>
      </c>
      <c r="G53" s="113">
        <f>G12/'IS (Bull-Case)'!G8</f>
        <v>7.7960575070401619E-3</v>
      </c>
      <c r="H53" s="125">
        <f>H12/'IS (Bull-Case)'!H8</f>
        <v>1.1618870857004896E-2</v>
      </c>
      <c r="I53" s="113">
        <f>I12/'IS (Bull-Case)'!I8</f>
        <v>1.2723506784461259E-2</v>
      </c>
      <c r="J53" s="113">
        <f>J12/'IS (Bull-Case)'!J8</f>
        <v>9.3900628783961833E-3</v>
      </c>
      <c r="K53" s="113">
        <f>K12/'IS (Bull-Case)'!K8</f>
        <v>9.8055470026763899E-3</v>
      </c>
      <c r="L53" s="113">
        <f>L12/'IS (Bull-Case)'!L8</f>
        <v>9.7693088939401224E-3</v>
      </c>
      <c r="M53" s="282">
        <f>M12/'IS (Bull-Case)'!M8</f>
        <v>1.0570626753975675E-2</v>
      </c>
      <c r="N53" s="113">
        <f>N12/'IS (Bull-Case)'!N8</f>
        <v>1.4712418881678371E-2</v>
      </c>
      <c r="O53" s="113">
        <f>O12/'IS (Bull-Case)'!O8</f>
        <v>1.1397720455908821E-2</v>
      </c>
      <c r="P53" s="113">
        <f>P12/'IS (Bull-Case)'!P8</f>
        <v>1.0671646768491964E-2</v>
      </c>
      <c r="Q53" s="113">
        <f>Q12/'IS (Bull-Case)'!Q8</f>
        <v>7.8313918519155035E-3</v>
      </c>
      <c r="R53" s="282">
        <f>R12/'IS (Bull-Case)'!R8</f>
        <v>1.0980502811366593E-2</v>
      </c>
      <c r="S53" s="113">
        <f>S12/'IS (Bull-Case)'!S8</f>
        <v>1.1900029812183245E-2</v>
      </c>
      <c r="T53" s="113">
        <f>T12/'IS (Bull-Case)'!T8</f>
        <v>6.9935564985069932E-3</v>
      </c>
      <c r="U53" s="113">
        <f>U12/'IS (Bull-Case)'!U8</f>
        <v>7.0428583698359517E-3</v>
      </c>
      <c r="V53" s="35">
        <f>AVERAGE(U53,T53,S53,Q53)</f>
        <v>8.4419591331104243E-3</v>
      </c>
      <c r="W53" s="282"/>
      <c r="X53" s="35">
        <f>AVERAGE(V53,U53,T53,S53)</f>
        <v>8.5946009534091546E-3</v>
      </c>
      <c r="Y53" s="35">
        <f>AVERAGE(X53,V53,U53,T53)</f>
        <v>7.7682437387156314E-3</v>
      </c>
      <c r="Z53" s="35">
        <f>AVERAGE(Y53,X53,V53,U53)</f>
        <v>7.9619155487677899E-3</v>
      </c>
      <c r="AA53" s="35">
        <f>AVERAGE(Z53,Y53,X53,V53)</f>
        <v>8.1916798435007487E-3</v>
      </c>
      <c r="AB53" s="282"/>
      <c r="AC53" s="35">
        <f>AVERAGE(AA53,Z53,Y53,X53)</f>
        <v>8.1291100210983298E-3</v>
      </c>
      <c r="AD53" s="35">
        <f>AVERAGE(AC53,AA53,Z53,Y53)</f>
        <v>8.0127372880206254E-3</v>
      </c>
      <c r="AE53" s="35">
        <f>AVERAGE(AD53,AC53,AA53,Z53)</f>
        <v>8.0738606753468726E-3</v>
      </c>
      <c r="AF53" s="35">
        <f>AVERAGE(AE53,AD53,AC53,AA53)</f>
        <v>8.101846956991645E-3</v>
      </c>
      <c r="AG53" s="282"/>
      <c r="AH53" s="35">
        <f>AVERAGE(AF53,AE53,AD53,AC53)</f>
        <v>8.0793887353643699E-3</v>
      </c>
      <c r="AI53" s="35">
        <f>AVERAGE(AH53,AF53,AE53,AD53)</f>
        <v>8.0669584139308782E-3</v>
      </c>
      <c r="AJ53" s="35">
        <f>AVERAGE(AI53,AH53,AF53,AE53)</f>
        <v>8.0805136954084419E-3</v>
      </c>
      <c r="AK53" s="35">
        <f>AVERAGE(AJ53,AI53,AH53,AF53)</f>
        <v>8.0821769504238333E-3</v>
      </c>
      <c r="AL53" s="282"/>
      <c r="AM53" s="35">
        <f>AVERAGE(AK53,AJ53,AI53,AH53)</f>
        <v>8.0772594487818813E-3</v>
      </c>
      <c r="AN53" s="35">
        <f>AVERAGE(AM53,AK53,AJ53,AI53)</f>
        <v>8.0767271271362587E-3</v>
      </c>
      <c r="AO53" s="35">
        <f>AVERAGE(AN53,AM53,AK53,AJ53)</f>
        <v>8.0791693054376047E-3</v>
      </c>
      <c r="AP53" s="35">
        <f>AVERAGE(AO53,AN53,AM53,AK53)</f>
        <v>8.0788332079448945E-3</v>
      </c>
      <c r="AQ53" s="282"/>
      <c r="AR53" s="35">
        <f>AVERAGE(AP53,AO53,AN53,AM53)</f>
        <v>8.0779972723251606E-3</v>
      </c>
      <c r="AS53" s="35">
        <f>AVERAGE(AR53,AP53,AO53,AN53)</f>
        <v>8.0781817282109796E-3</v>
      </c>
      <c r="AT53" s="35">
        <f>AVERAGE(AS53,AR53,AP53,AO53)</f>
        <v>8.0785453784796603E-3</v>
      </c>
      <c r="AU53" s="35">
        <f>AVERAGE(AT53,AS53,AR53,AP53)</f>
        <v>8.0783893967401738E-3</v>
      </c>
      <c r="AV53" s="282"/>
    </row>
    <row r="54" spans="2:48" s="23" customFormat="1" outlineLevel="1" x14ac:dyDescent="0.3">
      <c r="B54" s="200" t="s">
        <v>310</v>
      </c>
      <c r="C54" s="201"/>
      <c r="D54" s="351">
        <f t="shared" ref="D54:U54" si="39">+D10/-D9</f>
        <v>1.1581818181818182</v>
      </c>
      <c r="E54" s="351">
        <f t="shared" si="39"/>
        <v>0.55639097744360888</v>
      </c>
      <c r="F54" s="113">
        <f t="shared" si="39"/>
        <v>1.0682852807283763</v>
      </c>
      <c r="G54" s="113">
        <f t="shared" si="39"/>
        <v>0.69411764705882406</v>
      </c>
      <c r="H54" s="125">
        <f t="shared" si="39"/>
        <v>0.86512370311252995</v>
      </c>
      <c r="I54" s="113">
        <f t="shared" si="39"/>
        <v>1.0222575516693164</v>
      </c>
      <c r="J54" s="113">
        <f t="shared" si="39"/>
        <v>0.63295880149812733</v>
      </c>
      <c r="K54" s="113">
        <f t="shared" si="39"/>
        <v>1.0227272727272729</v>
      </c>
      <c r="L54" s="113">
        <f t="shared" si="39"/>
        <v>0.63109756097560987</v>
      </c>
      <c r="M54" s="282">
        <f t="shared" si="39"/>
        <v>0.81118631991449952</v>
      </c>
      <c r="N54" s="113">
        <f t="shared" si="39"/>
        <v>1.1188405797101451</v>
      </c>
      <c r="O54" s="113">
        <f t="shared" si="39"/>
        <v>0.85072231139646837</v>
      </c>
      <c r="P54" s="113">
        <f t="shared" si="39"/>
        <v>0.9018691588785045</v>
      </c>
      <c r="Q54" s="113">
        <f t="shared" si="39"/>
        <v>1.0027522935779816</v>
      </c>
      <c r="R54" s="282">
        <f t="shared" si="39"/>
        <v>0.96746328822343797</v>
      </c>
      <c r="S54" s="113">
        <f t="shared" si="39"/>
        <v>0.96351931330472096</v>
      </c>
      <c r="T54" s="113">
        <f t="shared" si="39"/>
        <v>0.77531206657420249</v>
      </c>
      <c r="U54" s="113">
        <f t="shared" si="39"/>
        <v>0.80106571936056836</v>
      </c>
      <c r="V54" s="35">
        <v>1</v>
      </c>
      <c r="W54" s="282"/>
      <c r="X54" s="35">
        <v>1</v>
      </c>
      <c r="Y54" s="35">
        <v>1</v>
      </c>
      <c r="Z54" s="35">
        <v>1</v>
      </c>
      <c r="AA54" s="35">
        <v>1</v>
      </c>
      <c r="AB54" s="282"/>
      <c r="AC54" s="35">
        <v>1</v>
      </c>
      <c r="AD54" s="35">
        <v>1</v>
      </c>
      <c r="AE54" s="35">
        <v>1</v>
      </c>
      <c r="AF54" s="35">
        <v>1</v>
      </c>
      <c r="AG54" s="282"/>
      <c r="AH54" s="35">
        <v>1</v>
      </c>
      <c r="AI54" s="35">
        <v>1</v>
      </c>
      <c r="AJ54" s="35">
        <v>1</v>
      </c>
      <c r="AK54" s="35">
        <v>1</v>
      </c>
      <c r="AL54" s="282"/>
      <c r="AM54" s="35">
        <v>1</v>
      </c>
      <c r="AN54" s="35">
        <v>1</v>
      </c>
      <c r="AO54" s="35">
        <v>1</v>
      </c>
      <c r="AP54" s="35">
        <v>1</v>
      </c>
      <c r="AQ54" s="282"/>
      <c r="AR54" s="35">
        <v>1</v>
      </c>
      <c r="AS54" s="35">
        <v>1</v>
      </c>
      <c r="AT54" s="35">
        <v>1</v>
      </c>
      <c r="AU54" s="35">
        <v>1</v>
      </c>
      <c r="AV54" s="282"/>
    </row>
    <row r="55" spans="2:48" s="23" customFormat="1" outlineLevel="1" x14ac:dyDescent="0.3">
      <c r="B55" s="435" t="s">
        <v>311</v>
      </c>
      <c r="C55" s="436"/>
      <c r="D55" s="352"/>
      <c r="E55" s="352"/>
      <c r="F55" s="352"/>
      <c r="G55" s="352"/>
      <c r="H55" s="353"/>
      <c r="I55" s="352">
        <f t="shared" ref="I55:AV55" si="40">I22/D22-1</f>
        <v>-0.22820512820512895</v>
      </c>
      <c r="J55" s="352">
        <f t="shared" si="40"/>
        <v>-4.4869364754098413</v>
      </c>
      <c r="K55" s="352">
        <f t="shared" si="40"/>
        <v>-1.314434752864716</v>
      </c>
      <c r="L55" s="352">
        <f t="shared" si="40"/>
        <v>0.34527569713924766</v>
      </c>
      <c r="M55" s="353">
        <f t="shared" si="40"/>
        <v>-0.68340961778517451</v>
      </c>
      <c r="N55" s="352">
        <f t="shared" si="40"/>
        <v>-2.1785305811139466E-4</v>
      </c>
      <c r="O55" s="352">
        <f t="shared" si="40"/>
        <v>-1.649232351428781</v>
      </c>
      <c r="P55" s="352">
        <f t="shared" si="40"/>
        <v>-5.7565950503127619</v>
      </c>
      <c r="Q55" s="352">
        <f t="shared" si="40"/>
        <v>2.012477359629572E-2</v>
      </c>
      <c r="R55" s="353">
        <f t="shared" si="40"/>
        <v>2.7484040555764064</v>
      </c>
      <c r="S55" s="352">
        <f t="shared" si="40"/>
        <v>1.9175246499972598E-2</v>
      </c>
      <c r="T55" s="352">
        <f t="shared" si="40"/>
        <v>-0.81681375876895213</v>
      </c>
      <c r="U55" s="352">
        <f t="shared" si="40"/>
        <v>-0.27684391080617499</v>
      </c>
      <c r="V55" s="352">
        <f t="shared" si="40"/>
        <v>-0.12064240558931372</v>
      </c>
      <c r="W55" s="353">
        <f t="shared" si="40"/>
        <v>-0.22613385864216728</v>
      </c>
      <c r="X55" s="352">
        <f t="shared" si="40"/>
        <v>-0.10202257899727174</v>
      </c>
      <c r="Y55" s="352">
        <f t="shared" si="40"/>
        <v>3.4902122562032138</v>
      </c>
      <c r="Z55" s="352">
        <f t="shared" si="40"/>
        <v>-0.13908385800347733</v>
      </c>
      <c r="AA55" s="352">
        <f t="shared" si="40"/>
        <v>0.47188137767294025</v>
      </c>
      <c r="AB55" s="353">
        <f t="shared" si="40"/>
        <v>0.17892666103689892</v>
      </c>
      <c r="AC55" s="352">
        <f t="shared" si="40"/>
        <v>0.26525847049352413</v>
      </c>
      <c r="AD55" s="352">
        <f t="shared" si="40"/>
        <v>0.40446824239817536</v>
      </c>
      <c r="AE55" s="352">
        <f t="shared" si="40"/>
        <v>0.3717136627817168</v>
      </c>
      <c r="AF55" s="352">
        <f t="shared" si="40"/>
        <v>-9.2020756279997951E-3</v>
      </c>
      <c r="AG55" s="353">
        <f t="shared" si="40"/>
        <v>0.20612914314124442</v>
      </c>
      <c r="AH55" s="352">
        <f t="shared" si="40"/>
        <v>0.11940623718188159</v>
      </c>
      <c r="AI55" s="352">
        <f t="shared" si="40"/>
        <v>0.16670708613608487</v>
      </c>
      <c r="AJ55" s="352">
        <f t="shared" si="40"/>
        <v>0.14165531421669653</v>
      </c>
      <c r="AK55" s="352">
        <f t="shared" si="40"/>
        <v>0.18275129009536695</v>
      </c>
      <c r="AL55" s="353">
        <f t="shared" si="40"/>
        <v>0.15052069060410989</v>
      </c>
      <c r="AM55" s="352">
        <f t="shared" si="40"/>
        <v>0.13132402147725508</v>
      </c>
      <c r="AN55" s="352">
        <f t="shared" si="40"/>
        <v>0.1069781218342758</v>
      </c>
      <c r="AO55" s="352">
        <f t="shared" si="40"/>
        <v>8.2108327296507966E-2</v>
      </c>
      <c r="AP55" s="352">
        <f t="shared" si="40"/>
        <v>0.10339196438657239</v>
      </c>
      <c r="AQ55" s="353">
        <f t="shared" si="40"/>
        <v>0.1079343498311911</v>
      </c>
      <c r="AR55" s="352">
        <f t="shared" si="40"/>
        <v>9.3045765577733475E-2</v>
      </c>
      <c r="AS55" s="352">
        <f t="shared" si="40"/>
        <v>9.2694012854325436E-2</v>
      </c>
      <c r="AT55" s="352">
        <f t="shared" si="40"/>
        <v>0.10490882305563765</v>
      </c>
      <c r="AU55" s="352">
        <f t="shared" si="40"/>
        <v>5.8563694838624558E-2</v>
      </c>
      <c r="AV55" s="353">
        <f t="shared" si="40"/>
        <v>8.5150019351976525E-2</v>
      </c>
    </row>
    <row r="56" spans="2:48" outlineLevel="1" x14ac:dyDescent="0.3">
      <c r="B56" s="200" t="s">
        <v>312</v>
      </c>
      <c r="C56" s="356"/>
      <c r="D56" s="351">
        <f>-D25/'IS (Bull-Case)'!D8</f>
        <v>6.5041385860961587E-2</v>
      </c>
      <c r="E56" s="351">
        <f>-E25/'IS (Bull-Case)'!E8</f>
        <v>6.5684517673924428E-2</v>
      </c>
      <c r="F56" s="113">
        <f>-F25/'IS (Bull-Case)'!F8</f>
        <v>6.3769602814011436E-2</v>
      </c>
      <c r="G56" s="113">
        <f>-G25/'IS (Bull-Case)'!G8</f>
        <v>7.7945753668297008E-2</v>
      </c>
      <c r="H56" s="363">
        <f>-H25/'IS (Bull-Case)'!H8</f>
        <v>6.8151467825535855E-2</v>
      </c>
      <c r="I56" s="354">
        <f>-I25/'IS (Bull-Case)'!I8</f>
        <v>5.555790393259219E-2</v>
      </c>
      <c r="J56" s="118">
        <f>-J25/'IS (Bull-Case)'!J8</f>
        <v>6.0710175625865198E-2</v>
      </c>
      <c r="K56" s="118">
        <f>-K25/'IS (Bull-Case)'!K8</f>
        <v>9.0026290234717338E-2</v>
      </c>
      <c r="L56" s="113">
        <f>-L25/'IS (Bull-Case)'!L8</f>
        <v>5.5649594557559891E-2</v>
      </c>
      <c r="M56" s="353">
        <f>-M25/'IS (Bull-Case)'!M8</f>
        <v>6.3083595543838744E-2</v>
      </c>
      <c r="N56" s="354">
        <f>-N25/'IS (Bull-Case)'!N8</f>
        <v>4.8033899309568251E-2</v>
      </c>
      <c r="O56" s="118">
        <f>-O25/'IS (Bull-Case)'!O8</f>
        <v>4.8545290941811634E-2</v>
      </c>
      <c r="P56" s="118">
        <f>-P25/'IS (Bull-Case)'!P8</f>
        <v>4.5061028479957313E-2</v>
      </c>
      <c r="Q56" s="118">
        <f>-Q25/'IS (Bull-Case)'!Q8</f>
        <v>5.9447383603176751E-2</v>
      </c>
      <c r="R56" s="353">
        <f>-R25/'IS (Bull-Case)'!R8</f>
        <v>5.058395215515165E-2</v>
      </c>
      <c r="S56" s="354">
        <f>-S25/'IS (Bull-Case)'!S8</f>
        <v>5.1773824903110409E-2</v>
      </c>
      <c r="T56" s="118">
        <f>-T25/'IS (Bull-Case)'!T8</f>
        <v>5.9602388810309603E-2</v>
      </c>
      <c r="U56" s="118">
        <f>-U25/'IS (Bull-Case)'!U8</f>
        <v>5.1962552606716499E-2</v>
      </c>
      <c r="V56" s="35">
        <v>5.8826938051629606E-2</v>
      </c>
      <c r="W56" s="353">
        <f>-W25/'IS (Bull-Case)'!W8</f>
        <v>5.5502154447597589E-2</v>
      </c>
      <c r="X56" s="355">
        <v>7.637029326591141E-2</v>
      </c>
      <c r="Y56" s="355">
        <f>X56</f>
        <v>7.637029326591141E-2</v>
      </c>
      <c r="Z56" s="355">
        <f>Y56</f>
        <v>7.637029326591141E-2</v>
      </c>
      <c r="AA56" s="355">
        <f>Z56</f>
        <v>7.637029326591141E-2</v>
      </c>
      <c r="AB56" s="353">
        <f>-AB25/'IS (Bull-Case)'!AB8</f>
        <v>7.637029326591141E-2</v>
      </c>
      <c r="AC56" s="355">
        <v>6.8475022219281048E-2</v>
      </c>
      <c r="AD56" s="35">
        <f>AC56</f>
        <v>6.8475022219281048E-2</v>
      </c>
      <c r="AE56" s="35">
        <f>AD56</f>
        <v>6.8475022219281048E-2</v>
      </c>
      <c r="AF56" s="35">
        <f>AE56</f>
        <v>6.8475022219281048E-2</v>
      </c>
      <c r="AG56" s="353">
        <f>-AG25/'IS (Bull-Case)'!AG8</f>
        <v>6.8475022219281048E-2</v>
      </c>
      <c r="AH56" s="355">
        <v>6.080333862455721E-2</v>
      </c>
      <c r="AI56" s="35">
        <f>AH56</f>
        <v>6.080333862455721E-2</v>
      </c>
      <c r="AJ56" s="35">
        <f>AI56</f>
        <v>6.080333862455721E-2</v>
      </c>
      <c r="AK56" s="35">
        <f>AJ56</f>
        <v>6.080333862455721E-2</v>
      </c>
      <c r="AL56" s="353">
        <f>-AL25/'IS (Bull-Case)'!AL8</f>
        <v>6.0803338624557203E-2</v>
      </c>
      <c r="AM56" s="355">
        <f>AVERAGE(AH56,AI56,AJ56,AK56)</f>
        <v>6.080333862455721E-2</v>
      </c>
      <c r="AN56" s="35">
        <f>AVERAGE(AI56,AJ56,AK56,AM56)</f>
        <v>6.080333862455721E-2</v>
      </c>
      <c r="AO56" s="35">
        <f>AVERAGE(AN56,AM56,AK56,AJ56)</f>
        <v>6.080333862455721E-2</v>
      </c>
      <c r="AP56" s="35">
        <f>AVERAGE(AO56,AN56,AM56,AK56)</f>
        <v>6.080333862455721E-2</v>
      </c>
      <c r="AQ56" s="353">
        <f>-AQ25/'IS (Bull-Case)'!AQ8</f>
        <v>6.0803338624557217E-2</v>
      </c>
      <c r="AR56" s="355">
        <f>AVERAGE(AM56,AN56,AO56,AP56)</f>
        <v>6.080333862455721E-2</v>
      </c>
      <c r="AS56" s="35">
        <f>AVERAGE(AN56,AO56,AP56,AR56)</f>
        <v>6.080333862455721E-2</v>
      </c>
      <c r="AT56" s="35">
        <f>AVERAGE(AS56,AR56,AP56,AO56)</f>
        <v>6.080333862455721E-2</v>
      </c>
      <c r="AU56" s="35">
        <f>AVERAGE(AT56,AS56,AR56,AP56)</f>
        <v>6.080333862455721E-2</v>
      </c>
      <c r="AV56" s="353">
        <f>-AV25/'IS (Bull-Case)'!AV8</f>
        <v>6.080333862455721E-2</v>
      </c>
    </row>
    <row r="57" spans="2:48" outlineLevel="1" x14ac:dyDescent="0.3">
      <c r="B57" s="200" t="s">
        <v>313</v>
      </c>
      <c r="C57" s="356"/>
      <c r="D57" s="299">
        <f>-D34-D33</f>
        <v>5561.4</v>
      </c>
      <c r="E57" s="299">
        <f t="shared" ref="E57:AV57" si="41">-E34-E33</f>
        <v>3161</v>
      </c>
      <c r="F57" s="146">
        <f t="shared" si="41"/>
        <v>581.20000000000005</v>
      </c>
      <c r="G57" s="146">
        <f t="shared" si="41"/>
        <v>2679.9999999999995</v>
      </c>
      <c r="H57" s="122">
        <f t="shared" si="41"/>
        <v>11983.599999999999</v>
      </c>
      <c r="I57" s="299">
        <f t="shared" si="41"/>
        <v>1575.6000000000001</v>
      </c>
      <c r="J57" s="146">
        <f t="shared" si="41"/>
        <v>1088.5</v>
      </c>
      <c r="K57" s="146">
        <f t="shared" si="41"/>
        <v>479.00000000000006</v>
      </c>
      <c r="L57" s="146">
        <f t="shared" si="41"/>
        <v>479.3</v>
      </c>
      <c r="M57" s="122">
        <f t="shared" si="41"/>
        <v>3622.4</v>
      </c>
      <c r="N57" s="299">
        <f t="shared" si="41"/>
        <v>528.20000000000005</v>
      </c>
      <c r="O57" s="146">
        <f t="shared" si="41"/>
        <v>529.79999999999995</v>
      </c>
      <c r="P57" s="146">
        <f t="shared" si="41"/>
        <v>530.20000000000005</v>
      </c>
      <c r="Q57" s="146">
        <f t="shared" si="41"/>
        <v>530.79999999999995</v>
      </c>
      <c r="R57" s="122">
        <f t="shared" si="41"/>
        <v>2119</v>
      </c>
      <c r="S57" s="299">
        <f t="shared" si="41"/>
        <v>4096.8999999999996</v>
      </c>
      <c r="T57" s="146">
        <f t="shared" si="41"/>
        <v>1039.8</v>
      </c>
      <c r="U57" s="146">
        <f t="shared" si="41"/>
        <v>577.39999999999986</v>
      </c>
      <c r="V57" s="146">
        <f t="shared" si="41"/>
        <v>591.31176300000004</v>
      </c>
      <c r="W57" s="122">
        <f>-W34-W33</f>
        <v>6305.4117630000001</v>
      </c>
      <c r="X57" s="299">
        <f t="shared" si="41"/>
        <v>592.49438652600008</v>
      </c>
      <c r="Y57" s="299">
        <f t="shared" si="41"/>
        <v>593.67937529905203</v>
      </c>
      <c r="Z57" s="299">
        <f t="shared" si="41"/>
        <v>594.86673404965018</v>
      </c>
      <c r="AA57" s="299">
        <f t="shared" si="41"/>
        <v>625.85929089363685</v>
      </c>
      <c r="AB57" s="166">
        <f t="shared" si="41"/>
        <v>2406.8997867683393</v>
      </c>
      <c r="AC57" s="299">
        <f t="shared" si="41"/>
        <v>592.49438652600008</v>
      </c>
      <c r="AD57" s="146">
        <f t="shared" si="41"/>
        <v>593.67937529905203</v>
      </c>
      <c r="AE57" s="146">
        <f t="shared" si="41"/>
        <v>694.86673404965018</v>
      </c>
      <c r="AF57" s="146">
        <f t="shared" si="41"/>
        <v>725.85929089363685</v>
      </c>
      <c r="AG57" s="166">
        <f t="shared" si="41"/>
        <v>2606.8997867683393</v>
      </c>
      <c r="AH57" s="299">
        <f t="shared" si="41"/>
        <v>727.11100947542411</v>
      </c>
      <c r="AI57" s="146">
        <f t="shared" si="41"/>
        <v>728.36523149437494</v>
      </c>
      <c r="AJ57" s="146">
        <f t="shared" si="41"/>
        <v>4353.7680942182806</v>
      </c>
      <c r="AK57" s="146">
        <f>-AK34-AK33</f>
        <v>4417.529019705933</v>
      </c>
      <c r="AL57" s="122">
        <f t="shared" si="41"/>
        <v>10226.773354894012</v>
      </c>
      <c r="AM57" s="299">
        <f t="shared" si="41"/>
        <v>943.78704557160756</v>
      </c>
      <c r="AN57" s="146">
        <f t="shared" si="41"/>
        <v>944.68079250225696</v>
      </c>
      <c r="AO57" s="146">
        <f t="shared" si="41"/>
        <v>927.67690007669853</v>
      </c>
      <c r="AP57" s="146">
        <f t="shared" si="41"/>
        <v>943.67094985960352</v>
      </c>
      <c r="AQ57" s="122">
        <f t="shared" si="41"/>
        <v>3759.8156880101669</v>
      </c>
      <c r="AR57" s="299">
        <f t="shared" si="41"/>
        <v>943.81451066479542</v>
      </c>
      <c r="AS57" s="146">
        <f t="shared" si="41"/>
        <v>943.95835859159763</v>
      </c>
      <c r="AT57" s="146">
        <f t="shared" si="41"/>
        <v>944.10249421425362</v>
      </c>
      <c r="AU57" s="146">
        <f t="shared" si="41"/>
        <v>958.13185647031787</v>
      </c>
      <c r="AV57" s="122">
        <f t="shared" si="41"/>
        <v>3790.0072199409647</v>
      </c>
    </row>
    <row r="58" spans="2:48" outlineLevel="1" x14ac:dyDescent="0.3">
      <c r="B58" s="203" t="s">
        <v>314</v>
      </c>
      <c r="C58" s="364"/>
      <c r="D58" s="365"/>
      <c r="E58" s="365"/>
      <c r="F58" s="366"/>
      <c r="G58" s="366"/>
      <c r="H58" s="367"/>
      <c r="I58" s="365"/>
      <c r="J58" s="366"/>
      <c r="K58" s="366"/>
      <c r="L58" s="366"/>
      <c r="M58" s="367"/>
      <c r="N58" s="365"/>
      <c r="O58" s="366"/>
      <c r="P58" s="366"/>
      <c r="Q58" s="366"/>
      <c r="R58" s="367"/>
      <c r="S58" s="365"/>
      <c r="T58" s="366"/>
      <c r="U58" s="366"/>
      <c r="V58" s="366"/>
      <c r="W58" s="367"/>
      <c r="X58" s="365">
        <f>X57</f>
        <v>592.49438652600008</v>
      </c>
      <c r="Y58" s="365">
        <f>+Y57+X58</f>
        <v>1186.1737618250522</v>
      </c>
      <c r="Z58" s="365">
        <f t="shared" ref="Z58:AA58" si="42">+Z57+Y58</f>
        <v>1781.0404958747024</v>
      </c>
      <c r="AA58" s="365">
        <f t="shared" si="42"/>
        <v>2406.8997867683393</v>
      </c>
      <c r="AB58" s="368">
        <f>AA58</f>
        <v>2406.8997867683393</v>
      </c>
      <c r="AC58" s="365">
        <f>AA58+AC57</f>
        <v>2999.3941732943395</v>
      </c>
      <c r="AD58" s="365">
        <f>AC58+AD57</f>
        <v>3593.0735485933915</v>
      </c>
      <c r="AE58" s="365">
        <f t="shared" ref="AE58:AF58" si="43">AD58+AE57</f>
        <v>4287.9402826430414</v>
      </c>
      <c r="AF58" s="365">
        <f t="shared" si="43"/>
        <v>5013.7995735366785</v>
      </c>
      <c r="AG58" s="368">
        <f>+AF58</f>
        <v>5013.7995735366785</v>
      </c>
      <c r="AH58" s="365">
        <f>AF58+AH57</f>
        <v>5740.9105830121025</v>
      </c>
      <c r="AI58" s="365">
        <f>AH58+AI57</f>
        <v>6469.2758145064772</v>
      </c>
      <c r="AJ58" s="365">
        <f t="shared" ref="AJ58" si="44">AI58+AJ57</f>
        <v>10823.043908724758</v>
      </c>
      <c r="AK58" s="365">
        <f>AJ58+AK57</f>
        <v>15240.572928430691</v>
      </c>
      <c r="AL58" s="394">
        <f>+AK58</f>
        <v>15240.572928430691</v>
      </c>
      <c r="AM58" s="365"/>
      <c r="AN58" s="366"/>
      <c r="AO58" s="366"/>
      <c r="AP58" s="366"/>
      <c r="AQ58" s="367"/>
      <c r="AR58" s="365"/>
      <c r="AS58" s="366"/>
      <c r="AT58" s="366"/>
      <c r="AU58" s="366"/>
      <c r="AV58" s="367"/>
    </row>
    <row r="59" spans="2:48" x14ac:dyDescent="0.3">
      <c r="B59" s="395" t="s">
        <v>330</v>
      </c>
      <c r="C59" s="396"/>
      <c r="D59" s="397"/>
      <c r="E59" s="397"/>
      <c r="F59" s="398"/>
      <c r="G59" s="398"/>
      <c r="H59" s="398"/>
      <c r="I59" s="397"/>
      <c r="J59" s="397"/>
      <c r="K59" s="398"/>
      <c r="L59" s="398"/>
      <c r="M59" s="398"/>
      <c r="N59" s="397"/>
      <c r="O59" s="397"/>
      <c r="P59" s="398"/>
      <c r="Q59" s="398"/>
      <c r="R59" s="398"/>
      <c r="S59" s="397"/>
      <c r="T59" s="397"/>
      <c r="U59" s="398"/>
      <c r="V59" s="398"/>
      <c r="W59" s="398"/>
      <c r="X59" s="397"/>
      <c r="Y59" s="397"/>
      <c r="Z59" s="398"/>
      <c r="AA59" s="398"/>
      <c r="AB59" s="398"/>
      <c r="AC59" s="397"/>
      <c r="AD59" s="397"/>
      <c r="AE59" s="398"/>
      <c r="AF59" s="398"/>
      <c r="AG59" s="398"/>
      <c r="AH59" s="397"/>
      <c r="AI59" s="397"/>
      <c r="AJ59" s="398"/>
      <c r="AK59" s="398"/>
      <c r="AL59" s="431">
        <f>('IS (Bull-Case)'!AL34/'IS (Bull-Case)'!W34)^(1/3)-1</f>
        <v>0.19700943780844304</v>
      </c>
    </row>
    <row r="60" spans="2:48" x14ac:dyDescent="0.3">
      <c r="B60" s="308" t="s">
        <v>331</v>
      </c>
      <c r="D60" s="399"/>
      <c r="E60" s="399"/>
      <c r="I60" s="399"/>
      <c r="J60" s="399"/>
      <c r="N60" s="399"/>
      <c r="O60" s="399"/>
      <c r="S60" s="399"/>
      <c r="T60" s="399"/>
      <c r="X60" s="399"/>
      <c r="Y60" s="399"/>
      <c r="AC60" s="399"/>
      <c r="AD60" s="399"/>
      <c r="AH60" s="399"/>
      <c r="AI60" s="399"/>
      <c r="AL60" s="28">
        <v>0.18840422550068037</v>
      </c>
    </row>
    <row r="61" spans="2:48" x14ac:dyDescent="0.3">
      <c r="B61" s="311" t="s">
        <v>332</v>
      </c>
      <c r="C61" s="400"/>
      <c r="D61" s="401"/>
      <c r="E61" s="401"/>
      <c r="F61" s="402"/>
      <c r="G61" s="402"/>
      <c r="H61" s="402"/>
      <c r="I61" s="401"/>
      <c r="J61" s="401"/>
      <c r="K61" s="402"/>
      <c r="L61" s="402"/>
      <c r="M61" s="402"/>
      <c r="N61" s="401"/>
      <c r="O61" s="401"/>
      <c r="P61" s="402"/>
      <c r="Q61" s="402"/>
      <c r="R61" s="402"/>
      <c r="S61" s="401"/>
      <c r="T61" s="401"/>
      <c r="U61" s="402"/>
      <c r="V61" s="402"/>
      <c r="W61" s="402"/>
      <c r="X61" s="401"/>
      <c r="Y61" s="401"/>
      <c r="Z61" s="402"/>
      <c r="AA61" s="402"/>
      <c r="AB61" s="402"/>
      <c r="AC61" s="401"/>
      <c r="AD61" s="401"/>
      <c r="AE61" s="402"/>
      <c r="AF61" s="402"/>
      <c r="AG61" s="402"/>
      <c r="AH61" s="401"/>
      <c r="AI61" s="401"/>
      <c r="AJ61" s="402"/>
      <c r="AK61" s="402"/>
      <c r="AL61" s="432">
        <f>AL59-AL60</f>
        <v>8.6052123077626774E-3</v>
      </c>
    </row>
    <row r="62" spans="2:48" s="23" customFormat="1" x14ac:dyDescent="0.3">
      <c r="B62" s="395" t="s">
        <v>333</v>
      </c>
      <c r="C62" s="409"/>
      <c r="D62" s="410"/>
      <c r="E62" s="410"/>
      <c r="F62" s="411"/>
      <c r="G62" s="411"/>
      <c r="H62" s="411"/>
      <c r="I62" s="410"/>
      <c r="J62" s="410"/>
      <c r="K62" s="411"/>
      <c r="L62" s="411"/>
      <c r="M62" s="411"/>
      <c r="N62" s="410"/>
      <c r="O62" s="410"/>
      <c r="P62" s="411"/>
      <c r="Q62" s="411"/>
      <c r="R62" s="411"/>
      <c r="S62" s="410"/>
      <c r="T62" s="410"/>
      <c r="U62" s="411"/>
      <c r="V62" s="411"/>
      <c r="W62" s="411"/>
      <c r="X62" s="410"/>
      <c r="Y62" s="410"/>
      <c r="Z62" s="411"/>
      <c r="AA62" s="411"/>
      <c r="AB62" s="411"/>
      <c r="AC62" s="410"/>
      <c r="AD62" s="410"/>
      <c r="AE62" s="411"/>
      <c r="AF62" s="411"/>
      <c r="AG62" s="411"/>
      <c r="AH62" s="410"/>
      <c r="AI62" s="410"/>
      <c r="AJ62" s="411"/>
      <c r="AK62" s="412"/>
      <c r="AL62" s="417">
        <f>(0.15+1)^3*2.88</f>
        <v>4.3801199999999989</v>
      </c>
      <c r="AM62" s="408"/>
      <c r="AN62" s="48"/>
      <c r="AO62" s="309"/>
      <c r="AP62" s="309"/>
      <c r="AQ62" s="309"/>
      <c r="AR62" s="48"/>
      <c r="AS62" s="48"/>
      <c r="AT62" s="309"/>
      <c r="AU62" s="309"/>
      <c r="AV62" s="309"/>
    </row>
    <row r="63" spans="2:48" s="23" customFormat="1" x14ac:dyDescent="0.3">
      <c r="B63" s="311" t="s">
        <v>334</v>
      </c>
      <c r="C63" s="413"/>
      <c r="D63" s="313"/>
      <c r="E63" s="313"/>
      <c r="F63" s="314"/>
      <c r="G63" s="314"/>
      <c r="H63" s="314"/>
      <c r="I63" s="313"/>
      <c r="J63" s="313"/>
      <c r="K63" s="314"/>
      <c r="L63" s="314"/>
      <c r="M63" s="314"/>
      <c r="N63" s="313"/>
      <c r="O63" s="313"/>
      <c r="P63" s="314"/>
      <c r="Q63" s="314"/>
      <c r="R63" s="314"/>
      <c r="S63" s="313"/>
      <c r="T63" s="313"/>
      <c r="U63" s="314"/>
      <c r="V63" s="314"/>
      <c r="W63" s="314"/>
      <c r="X63" s="313"/>
      <c r="Y63" s="313"/>
      <c r="Z63" s="314"/>
      <c r="AA63" s="314"/>
      <c r="AB63" s="314"/>
      <c r="AC63" s="313"/>
      <c r="AD63" s="313"/>
      <c r="AE63" s="314"/>
      <c r="AF63" s="314"/>
      <c r="AG63" s="314"/>
      <c r="AH63" s="313"/>
      <c r="AI63" s="313"/>
      <c r="AJ63" s="314"/>
      <c r="AK63" s="414"/>
      <c r="AL63" s="418">
        <f>(0.2+1)^3*2.88</f>
        <v>4.9766399999999997</v>
      </c>
      <c r="AM63" s="215"/>
      <c r="AN63" s="407"/>
      <c r="AO63" s="309"/>
      <c r="AP63" s="309"/>
      <c r="AQ63" s="309"/>
      <c r="AR63" s="48"/>
      <c r="AS63" s="48"/>
      <c r="AT63" s="309"/>
      <c r="AU63" s="309"/>
      <c r="AV63" s="309"/>
    </row>
    <row r="64" spans="2:48" s="23" customFormat="1" x14ac:dyDescent="0.3">
      <c r="B64" s="395" t="s">
        <v>344</v>
      </c>
      <c r="C64" s="409"/>
      <c r="D64" s="410"/>
      <c r="E64" s="410"/>
      <c r="F64" s="411"/>
      <c r="G64" s="411"/>
      <c r="H64" s="411"/>
      <c r="I64" s="410"/>
      <c r="J64" s="410"/>
      <c r="K64" s="411"/>
      <c r="L64" s="411"/>
      <c r="M64" s="411"/>
      <c r="N64" s="410"/>
      <c r="O64" s="410"/>
      <c r="P64" s="411"/>
      <c r="Q64" s="411"/>
      <c r="R64" s="411"/>
      <c r="S64" s="410"/>
      <c r="T64" s="410"/>
      <c r="U64" s="411"/>
      <c r="V64" s="411"/>
      <c r="W64" s="411"/>
      <c r="X64" s="410"/>
      <c r="Y64" s="410"/>
      <c r="Z64" s="411"/>
      <c r="AA64" s="411"/>
      <c r="AB64" s="411"/>
      <c r="AC64" s="410"/>
      <c r="AD64" s="410"/>
      <c r="AE64" s="411"/>
      <c r="AF64" s="411"/>
      <c r="AG64" s="411"/>
      <c r="AH64" s="410"/>
      <c r="AI64" s="410"/>
      <c r="AJ64" s="411"/>
      <c r="AK64" s="411"/>
      <c r="AL64" s="403">
        <f>(('IS (Bull-Case)'!AK57+'IS (Bull-Case)'!AK90)/('IS (Bull-Case)'!V57+'IS (Bull-Case)'!V90))^(1/3)-1</f>
        <v>7.0002254704243816E-2</v>
      </c>
      <c r="AM64" s="16"/>
      <c r="AN64" s="48"/>
      <c r="AO64" s="309"/>
      <c r="AP64" s="309"/>
      <c r="AQ64" s="309"/>
      <c r="AR64" s="48"/>
      <c r="AS64" s="48"/>
      <c r="AT64" s="309"/>
      <c r="AU64" s="309"/>
      <c r="AV64" s="309"/>
    </row>
    <row r="65" spans="2:48" s="23" customFormat="1" x14ac:dyDescent="0.3">
      <c r="B65" s="311" t="s">
        <v>345</v>
      </c>
      <c r="C65" s="413"/>
      <c r="D65" s="313"/>
      <c r="E65" s="313"/>
      <c r="F65" s="314"/>
      <c r="G65" s="314"/>
      <c r="H65" s="314"/>
      <c r="I65" s="313"/>
      <c r="J65" s="313"/>
      <c r="K65" s="314"/>
      <c r="L65" s="314"/>
      <c r="M65" s="314"/>
      <c r="N65" s="313"/>
      <c r="O65" s="313"/>
      <c r="P65" s="314"/>
      <c r="Q65" s="314"/>
      <c r="R65" s="314"/>
      <c r="S65" s="313"/>
      <c r="T65" s="313"/>
      <c r="U65" s="314"/>
      <c r="V65" s="314"/>
      <c r="W65" s="314"/>
      <c r="X65" s="313"/>
      <c r="Y65" s="313"/>
      <c r="Z65" s="314"/>
      <c r="AA65" s="314"/>
      <c r="AB65" s="314"/>
      <c r="AC65" s="313"/>
      <c r="AD65" s="313"/>
      <c r="AE65" s="314"/>
      <c r="AF65" s="314"/>
      <c r="AG65" s="314"/>
      <c r="AH65" s="313"/>
      <c r="AI65" s="313"/>
      <c r="AJ65" s="314"/>
      <c r="AK65" s="314"/>
      <c r="AL65" s="430">
        <f>('IS (Bull-Case)'!AL8/'IS (Bull-Case)'!W8)^(1/3)-1</f>
        <v>0.12079449679700494</v>
      </c>
      <c r="AM65" s="48"/>
      <c r="AN65" s="48"/>
      <c r="AO65" s="309"/>
      <c r="AP65" s="309"/>
      <c r="AQ65" s="309"/>
      <c r="AR65" s="48"/>
      <c r="AS65" s="48"/>
      <c r="AT65" s="309"/>
      <c r="AU65" s="309"/>
      <c r="AV65" s="309"/>
    </row>
  </sheetData>
  <dataConsolidate/>
  <mergeCells count="27">
    <mergeCell ref="B51:C51"/>
    <mergeCell ref="B52:C52"/>
    <mergeCell ref="B55:C55"/>
    <mergeCell ref="B41:C41"/>
    <mergeCell ref="B42:C42"/>
    <mergeCell ref="B44:C44"/>
    <mergeCell ref="B48:C48"/>
    <mergeCell ref="B49:C49"/>
    <mergeCell ref="B50:C50"/>
    <mergeCell ref="B40:C40"/>
    <mergeCell ref="B21:C21"/>
    <mergeCell ref="B22:C22"/>
    <mergeCell ref="B23:C23"/>
    <mergeCell ref="B25:C25"/>
    <mergeCell ref="B26:C26"/>
    <mergeCell ref="B27:C27"/>
    <mergeCell ref="B28:C28"/>
    <mergeCell ref="B29:C29"/>
    <mergeCell ref="B36:C36"/>
    <mergeCell ref="B37:C37"/>
    <mergeCell ref="B39:C39"/>
    <mergeCell ref="B18:C18"/>
    <mergeCell ref="B3:C3"/>
    <mergeCell ref="B5:C5"/>
    <mergeCell ref="B14:C14"/>
    <mergeCell ref="B15:C15"/>
    <mergeCell ref="B17:C17"/>
  </mergeCells>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580E1-D190-4716-A12E-19FC78F2F153}">
  <sheetPr>
    <tabColor theme="2" tint="-9.9978637043366805E-2"/>
    <pageSetUpPr fitToPage="1"/>
  </sheetPr>
  <dimension ref="A1:AV316"/>
  <sheetViews>
    <sheetView showGridLines="0" zoomScaleNormal="100" workbookViewId="0">
      <pane xSplit="3" ySplit="4" topLeftCell="AL5" activePane="bottomRight" state="frozen"/>
      <selection pane="topRight" activeCell="D1" sqref="D1"/>
      <selection pane="bottomLeft" activeCell="A4" sqref="A4"/>
      <selection pane="bottomRight" activeCell="D5" sqref="D5"/>
    </sheetView>
  </sheetViews>
  <sheetFormatPr defaultColWidth="8.88671875" defaultRowHeight="14.4" outlineLevelRow="1" outlineLevelCol="1" x14ac:dyDescent="0.3"/>
  <cols>
    <col min="1" max="1" width="2" style="2" customWidth="1"/>
    <col min="2" max="2" width="39" style="2" customWidth="1"/>
    <col min="3" max="3" width="11.77734375" style="2" customWidth="1"/>
    <col min="4" max="5" width="11.5546875" style="1" customWidth="1" outlineLevel="1"/>
    <col min="6" max="7" width="11.5546875" style="3" customWidth="1" outlineLevel="1"/>
    <col min="8" max="8" width="11.5546875" style="3" customWidth="1"/>
    <col min="9" max="10" width="11.5546875" style="1" customWidth="1" outlineLevel="1"/>
    <col min="11" max="12" width="11.5546875" style="3" customWidth="1" outlineLevel="1"/>
    <col min="13" max="13" width="11.5546875" style="3" customWidth="1"/>
    <col min="14" max="15" width="11.5546875" style="1" customWidth="1" outlineLevel="1"/>
    <col min="16" max="17" width="11.5546875" style="3" customWidth="1" outlineLevel="1"/>
    <col min="18" max="18" width="11.5546875" style="3" customWidth="1"/>
    <col min="19" max="20" width="11.5546875" style="1" customWidth="1" outlineLevel="1"/>
    <col min="21" max="22" width="11.5546875" style="3" customWidth="1" outlineLevel="1"/>
    <col min="23" max="23" width="11.5546875" style="3" customWidth="1"/>
    <col min="24" max="25" width="11.5546875" style="1" customWidth="1" outlineLevel="1"/>
    <col min="26" max="27" width="11.5546875" style="3" customWidth="1" outlineLevel="1"/>
    <col min="28" max="28" width="11.5546875" style="3" customWidth="1"/>
    <col min="29" max="30" width="11.5546875" style="1" customWidth="1" outlineLevel="1"/>
    <col min="31" max="32" width="11.5546875" style="3" customWidth="1" outlineLevel="1"/>
    <col min="33" max="33" width="11.5546875" style="3" customWidth="1"/>
    <col min="34" max="35" width="11.5546875" style="1" customWidth="1" outlineLevel="1"/>
    <col min="36" max="37" width="11.5546875" style="3" customWidth="1" outlineLevel="1"/>
    <col min="38" max="38" width="11.5546875" style="3" customWidth="1"/>
    <col min="39" max="40" width="11.5546875" style="1" customWidth="1" outlineLevel="1"/>
    <col min="41" max="42" width="11.5546875" style="3" customWidth="1" outlineLevel="1"/>
    <col min="43" max="43" width="11.5546875" style="3" customWidth="1"/>
    <col min="44" max="45" width="11.5546875" style="1" customWidth="1" outlineLevel="1"/>
    <col min="46" max="47" width="11.5546875" style="3" customWidth="1" outlineLevel="1"/>
    <col min="48" max="48" width="11.5546875" style="3" customWidth="1"/>
    <col min="49" max="16384" width="8.88671875" style="2"/>
  </cols>
  <sheetData>
    <row r="1" spans="1:48" ht="16.2" customHeight="1" x14ac:dyDescent="0.3">
      <c r="B1" s="237" t="s">
        <v>210</v>
      </c>
      <c r="C1" s="370"/>
      <c r="D1" s="45"/>
      <c r="E1" s="149"/>
      <c r="F1" s="149"/>
      <c r="G1" s="149"/>
      <c r="H1" s="149"/>
      <c r="I1" s="369"/>
      <c r="J1" s="369"/>
      <c r="K1" s="369"/>
      <c r="L1" s="369"/>
      <c r="M1" s="369"/>
      <c r="N1" s="369"/>
      <c r="O1" s="369"/>
      <c r="P1" s="369"/>
      <c r="Q1" s="369"/>
      <c r="R1" s="369"/>
      <c r="S1" s="369"/>
      <c r="T1" s="369"/>
      <c r="U1" s="369"/>
      <c r="V1" s="369"/>
      <c r="W1" s="373"/>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row>
    <row r="2" spans="1:48" ht="9.3000000000000007" customHeight="1" x14ac:dyDescent="0.3">
      <c r="B2" s="99"/>
      <c r="C2" s="370"/>
      <c r="D2" s="45"/>
      <c r="E2" s="149"/>
      <c r="F2" s="149"/>
      <c r="G2" s="149"/>
      <c r="H2" s="149"/>
      <c r="I2" s="369"/>
      <c r="J2" s="369"/>
      <c r="K2" s="369"/>
      <c r="L2" s="369"/>
      <c r="M2" s="369"/>
      <c r="N2" s="369"/>
      <c r="O2" s="369"/>
      <c r="P2" s="369"/>
      <c r="Q2" s="369"/>
      <c r="R2" s="369"/>
      <c r="S2" s="369"/>
      <c r="T2" s="369"/>
      <c r="U2" s="373"/>
      <c r="V2" s="385"/>
      <c r="W2" s="385"/>
      <c r="X2" s="385"/>
      <c r="Y2" s="385"/>
      <c r="Z2" s="385"/>
      <c r="AA2" s="385"/>
      <c r="AB2" s="369"/>
      <c r="AC2" s="369"/>
      <c r="AD2" s="369"/>
      <c r="AE2" s="369"/>
      <c r="AF2" s="369"/>
      <c r="AG2" s="389"/>
      <c r="AH2" s="391"/>
      <c r="AI2" s="369"/>
      <c r="AJ2" s="369"/>
      <c r="AK2" s="369"/>
      <c r="AL2" s="389"/>
      <c r="AM2" s="391"/>
      <c r="AN2" s="369"/>
      <c r="AO2" s="369"/>
      <c r="AP2" s="369"/>
      <c r="AQ2" s="369"/>
      <c r="AR2" s="369"/>
      <c r="AS2" s="369"/>
      <c r="AT2" s="369"/>
      <c r="AU2" s="369"/>
      <c r="AV2" s="369"/>
    </row>
    <row r="3" spans="1:48" ht="15.6" x14ac:dyDescent="0.3">
      <c r="A3" s="469"/>
      <c r="B3" s="433" t="s">
        <v>18</v>
      </c>
      <c r="C3" s="434"/>
      <c r="D3" s="13" t="s">
        <v>15</v>
      </c>
      <c r="E3" s="13" t="s">
        <v>82</v>
      </c>
      <c r="F3" s="13" t="s">
        <v>84</v>
      </c>
      <c r="G3" s="13" t="s">
        <v>147</v>
      </c>
      <c r="H3" s="39" t="s">
        <v>147</v>
      </c>
      <c r="I3" s="13" t="s">
        <v>146</v>
      </c>
      <c r="J3" s="13" t="s">
        <v>145</v>
      </c>
      <c r="K3" s="13" t="s">
        <v>144</v>
      </c>
      <c r="L3" s="13" t="s">
        <v>141</v>
      </c>
      <c r="M3" s="39" t="s">
        <v>141</v>
      </c>
      <c r="N3" s="13" t="s">
        <v>148</v>
      </c>
      <c r="O3" s="13" t="s">
        <v>156</v>
      </c>
      <c r="P3" s="13" t="s">
        <v>158</v>
      </c>
      <c r="Q3" s="13" t="s">
        <v>171</v>
      </c>
      <c r="R3" s="39" t="s">
        <v>171</v>
      </c>
      <c r="S3" s="13" t="s">
        <v>187</v>
      </c>
      <c r="T3" s="13" t="s">
        <v>190</v>
      </c>
      <c r="U3" s="13" t="s">
        <v>203</v>
      </c>
      <c r="V3" s="15" t="s">
        <v>20</v>
      </c>
      <c r="W3" s="41" t="s">
        <v>20</v>
      </c>
      <c r="X3" s="15" t="s">
        <v>21</v>
      </c>
      <c r="Y3" s="15" t="s">
        <v>22</v>
      </c>
      <c r="Z3" s="15" t="s">
        <v>23</v>
      </c>
      <c r="AA3" s="15" t="s">
        <v>24</v>
      </c>
      <c r="AB3" s="41" t="s">
        <v>24</v>
      </c>
      <c r="AC3" s="15" t="s">
        <v>86</v>
      </c>
      <c r="AD3" s="15" t="s">
        <v>87</v>
      </c>
      <c r="AE3" s="15" t="s">
        <v>88</v>
      </c>
      <c r="AF3" s="15" t="s">
        <v>89</v>
      </c>
      <c r="AG3" s="41" t="s">
        <v>89</v>
      </c>
      <c r="AH3" s="15" t="s">
        <v>105</v>
      </c>
      <c r="AI3" s="15" t="s">
        <v>106</v>
      </c>
      <c r="AJ3" s="15" t="s">
        <v>107</v>
      </c>
      <c r="AK3" s="15" t="s">
        <v>108</v>
      </c>
      <c r="AL3" s="41" t="s">
        <v>108</v>
      </c>
      <c r="AM3" s="15" t="s">
        <v>160</v>
      </c>
      <c r="AN3" s="15" t="s">
        <v>161</v>
      </c>
      <c r="AO3" s="15" t="s">
        <v>162</v>
      </c>
      <c r="AP3" s="15" t="s">
        <v>163</v>
      </c>
      <c r="AQ3" s="41" t="s">
        <v>163</v>
      </c>
      <c r="AR3" s="15" t="s">
        <v>191</v>
      </c>
      <c r="AS3" s="15" t="s">
        <v>192</v>
      </c>
      <c r="AT3" s="15" t="s">
        <v>193</v>
      </c>
      <c r="AU3" s="15" t="s">
        <v>194</v>
      </c>
      <c r="AV3" s="41" t="s">
        <v>194</v>
      </c>
    </row>
    <row r="4" spans="1:48" ht="17.55" customHeight="1" x14ac:dyDescent="0.45">
      <c r="A4" s="469"/>
      <c r="B4" s="467" t="s">
        <v>3</v>
      </c>
      <c r="C4" s="468"/>
      <c r="D4" s="14" t="s">
        <v>19</v>
      </c>
      <c r="E4" s="14" t="s">
        <v>81</v>
      </c>
      <c r="F4" s="14" t="s">
        <v>85</v>
      </c>
      <c r="G4" s="14" t="s">
        <v>95</v>
      </c>
      <c r="H4" s="40" t="s">
        <v>96</v>
      </c>
      <c r="I4" s="14" t="s">
        <v>97</v>
      </c>
      <c r="J4" s="14" t="s">
        <v>98</v>
      </c>
      <c r="K4" s="14" t="s">
        <v>99</v>
      </c>
      <c r="L4" s="14" t="s">
        <v>142</v>
      </c>
      <c r="M4" s="40" t="s">
        <v>143</v>
      </c>
      <c r="N4" s="14" t="s">
        <v>149</v>
      </c>
      <c r="O4" s="14" t="s">
        <v>157</v>
      </c>
      <c r="P4" s="14" t="s">
        <v>159</v>
      </c>
      <c r="Q4" s="14" t="s">
        <v>172</v>
      </c>
      <c r="R4" s="40" t="s">
        <v>173</v>
      </c>
      <c r="S4" s="14" t="s">
        <v>188</v>
      </c>
      <c r="T4" s="14" t="s">
        <v>189</v>
      </c>
      <c r="U4" s="14" t="s">
        <v>204</v>
      </c>
      <c r="V4" s="12" t="s">
        <v>25</v>
      </c>
      <c r="W4" s="42" t="s">
        <v>26</v>
      </c>
      <c r="X4" s="12" t="s">
        <v>27</v>
      </c>
      <c r="Y4" s="12" t="s">
        <v>28</v>
      </c>
      <c r="Z4" s="12" t="s">
        <v>29</v>
      </c>
      <c r="AA4" s="12" t="s">
        <v>30</v>
      </c>
      <c r="AB4" s="42" t="s">
        <v>31</v>
      </c>
      <c r="AC4" s="12" t="s">
        <v>90</v>
      </c>
      <c r="AD4" s="12" t="s">
        <v>91</v>
      </c>
      <c r="AE4" s="12" t="s">
        <v>92</v>
      </c>
      <c r="AF4" s="12" t="s">
        <v>93</v>
      </c>
      <c r="AG4" s="42" t="s">
        <v>94</v>
      </c>
      <c r="AH4" s="12" t="s">
        <v>109</v>
      </c>
      <c r="AI4" s="12" t="s">
        <v>110</v>
      </c>
      <c r="AJ4" s="12" t="s">
        <v>111</v>
      </c>
      <c r="AK4" s="12" t="s">
        <v>112</v>
      </c>
      <c r="AL4" s="42" t="s">
        <v>113</v>
      </c>
      <c r="AM4" s="12" t="s">
        <v>164</v>
      </c>
      <c r="AN4" s="12" t="s">
        <v>165</v>
      </c>
      <c r="AO4" s="12" t="s">
        <v>166</v>
      </c>
      <c r="AP4" s="12" t="s">
        <v>167</v>
      </c>
      <c r="AQ4" s="42" t="s">
        <v>168</v>
      </c>
      <c r="AR4" s="12" t="s">
        <v>195</v>
      </c>
      <c r="AS4" s="12" t="s">
        <v>196</v>
      </c>
      <c r="AT4" s="12" t="s">
        <v>197</v>
      </c>
      <c r="AU4" s="12" t="s">
        <v>198</v>
      </c>
      <c r="AV4" s="42" t="s">
        <v>199</v>
      </c>
    </row>
    <row r="5" spans="1:48" outlineLevel="1" x14ac:dyDescent="0.3">
      <c r="B5" s="435" t="s">
        <v>101</v>
      </c>
      <c r="C5" s="436"/>
      <c r="D5" s="105">
        <f>'IS (Bull-Case)'!D5-'IS (Base-Case)'!D5</f>
        <v>0</v>
      </c>
      <c r="E5" s="105">
        <f>'IS (Bull-Case)'!E5-'IS (Base-Case)'!E5</f>
        <v>0</v>
      </c>
      <c r="F5" s="105">
        <f>'IS (Bull-Case)'!F5-'IS (Base-Case)'!F5</f>
        <v>0</v>
      </c>
      <c r="G5" s="105">
        <f>'IS (Bull-Case)'!G5-'IS (Base-Case)'!G5</f>
        <v>0</v>
      </c>
      <c r="H5" s="170">
        <f>'IS (Bull-Case)'!H5-'IS (Base-Case)'!H5</f>
        <v>0</v>
      </c>
      <c r="I5" s="105">
        <f>'IS (Bull-Case)'!I5-'IS (Base-Case)'!I5</f>
        <v>0</v>
      </c>
      <c r="J5" s="105">
        <f>'IS (Bull-Case)'!J5-'IS (Base-Case)'!J5</f>
        <v>0</v>
      </c>
      <c r="K5" s="105">
        <f>'IS (Bull-Case)'!K5-'IS (Base-Case)'!K5</f>
        <v>0</v>
      </c>
      <c r="L5" s="105">
        <f>'IS (Bull-Case)'!L5-'IS (Base-Case)'!L5</f>
        <v>0</v>
      </c>
      <c r="M5" s="49">
        <f>'IS (Bull-Case)'!M5-'IS (Base-Case)'!M5</f>
        <v>0</v>
      </c>
      <c r="N5" s="48">
        <f>'IS (Bull-Case)'!N5-'IS (Base-Case)'!N5</f>
        <v>0</v>
      </c>
      <c r="O5" s="48">
        <f>'IS (Bull-Case)'!O5-'IS (Base-Case)'!O5</f>
        <v>0</v>
      </c>
      <c r="P5" s="48">
        <f>'IS (Bull-Case)'!P5-'IS (Base-Case)'!P5</f>
        <v>0</v>
      </c>
      <c r="Q5" s="105">
        <f>'IS (Bull-Case)'!Q5-'IS (Base-Case)'!Q5</f>
        <v>0</v>
      </c>
      <c r="R5" s="49">
        <f>'IS (Bull-Case)'!R5-'IS (Base-Case)'!R5</f>
        <v>0</v>
      </c>
      <c r="S5" s="48">
        <f>'IS (Bull-Case)'!S5-'IS (Base-Case)'!S5</f>
        <v>0</v>
      </c>
      <c r="T5" s="48">
        <f>'IS (Bull-Case)'!T5-'IS (Base-Case)'!T5</f>
        <v>0</v>
      </c>
      <c r="U5" s="48">
        <f>'IS (Bull-Case)'!U5-'IS (Base-Case)'!U5</f>
        <v>0</v>
      </c>
      <c r="V5" s="48">
        <f>'IS (Bull-Case)'!V5-'IS (Base-Case)'!V5</f>
        <v>0</v>
      </c>
      <c r="W5" s="49">
        <f>'IS (Bull-Case)'!W5-'IS (Base-Case)'!W5</f>
        <v>0</v>
      </c>
      <c r="X5" s="48">
        <f>'IS (Bull-Case)'!X5-'IS (Base-Case)'!X5</f>
        <v>80.552581030818146</v>
      </c>
      <c r="Y5" s="48">
        <f>'IS (Bull-Case)'!Y5-'IS (Base-Case)'!Y5</f>
        <v>76.354894265637995</v>
      </c>
      <c r="Z5" s="48">
        <f>'IS (Bull-Case)'!Z5-'IS (Base-Case)'!Z5</f>
        <v>85.139170215956256</v>
      </c>
      <c r="AA5" s="48">
        <f>'IS (Bull-Case)'!AA5-'IS (Base-Case)'!AA5</f>
        <v>83.616885173038099</v>
      </c>
      <c r="AB5" s="49">
        <f>'IS (Bull-Case)'!AB5-'IS (Base-Case)'!AB5</f>
        <v>325.66353068545141</v>
      </c>
      <c r="AC5" s="48">
        <f>'IS (Bull-Case)'!AC5-'IS (Base-Case)'!AC5</f>
        <v>176.16676314558754</v>
      </c>
      <c r="AD5" s="48">
        <f>'IS (Bull-Case)'!AD5-'IS (Base-Case)'!AD5</f>
        <v>167.14619106678674</v>
      </c>
      <c r="AE5" s="48">
        <f>'IS (Bull-Case)'!AE5-'IS (Base-Case)'!AE5</f>
        <v>184.81272890371838</v>
      </c>
      <c r="AF5" s="48">
        <f>'IS (Bull-Case)'!AF5-'IS (Base-Case)'!AF5</f>
        <v>181.69450042221433</v>
      </c>
      <c r="AG5" s="49">
        <f>'IS (Bull-Case)'!AG5-'IS (Base-Case)'!AG5</f>
        <v>709.8201835383079</v>
      </c>
      <c r="AH5" s="48">
        <f>'IS (Bull-Case)'!AH5-'IS (Base-Case)'!AH5</f>
        <v>291.93238481075787</v>
      </c>
      <c r="AI5" s="48">
        <f>'IS (Bull-Case)'!AI5-'IS (Base-Case)'!AI5</f>
        <v>277.29064678021496</v>
      </c>
      <c r="AJ5" s="48">
        <f>'IS (Bull-Case)'!AJ5-'IS (Base-Case)'!AJ5</f>
        <v>305.97529571279119</v>
      </c>
      <c r="AK5" s="48">
        <f>'IS (Bull-Case)'!AK5-'IS (Base-Case)'!AK5</f>
        <v>301.10783024435659</v>
      </c>
      <c r="AL5" s="49">
        <f>'IS (Bull-Case)'!AL5-'IS (Base-Case)'!AL5</f>
        <v>1176.3061575481261</v>
      </c>
      <c r="AM5" s="48">
        <f>'IS (Bull-Case)'!AM5-'IS (Base-Case)'!AM5</f>
        <v>316.50742233446908</v>
      </c>
      <c r="AN5" s="48">
        <f>'IS (Bull-Case)'!AN5-'IS (Base-Case)'!AN5</f>
        <v>300.8271240904287</v>
      </c>
      <c r="AO5" s="48">
        <f>'IS (Bull-Case)'!AO5-'IS (Base-Case)'!AO5</f>
        <v>332.15720823770607</v>
      </c>
      <c r="AP5" s="48">
        <f>'IS (Bull-Case)'!AP5-'IS (Base-Case)'!AP5</f>
        <v>327.07731785327996</v>
      </c>
      <c r="AQ5" s="49">
        <f>'IS (Bull-Case)'!AQ5-'IS (Base-Case)'!AQ5</f>
        <v>1276.5690725158856</v>
      </c>
      <c r="AR5" s="48">
        <f>'IS (Bull-Case)'!AR5-'IS (Base-Case)'!AR5</f>
        <v>337.31113783934961</v>
      </c>
      <c r="AS5" s="48">
        <f>'IS (Bull-Case)'!AS5-'IS (Base-Case)'!AS5</f>
        <v>320.50778091902248</v>
      </c>
      <c r="AT5" s="48">
        <f>'IS (Bull-Case)'!AT5-'IS (Base-Case)'!AT5</f>
        <v>353.78724316732405</v>
      </c>
      <c r="AU5" s="48">
        <f>'IS (Bull-Case)'!AU5-'IS (Base-Case)'!AU5</f>
        <v>348.27946136821629</v>
      </c>
      <c r="AV5" s="49">
        <f>'IS (Bull-Case)'!AV5-'IS (Base-Case)'!AV5</f>
        <v>1359.8856232939143</v>
      </c>
    </row>
    <row r="6" spans="1:48" outlineLevel="1" x14ac:dyDescent="0.3">
      <c r="B6" s="435" t="s">
        <v>102</v>
      </c>
      <c r="C6" s="436"/>
      <c r="D6" s="105">
        <f>'IS (Bull-Case)'!D6-'IS (Base-Case)'!D6</f>
        <v>0</v>
      </c>
      <c r="E6" s="105">
        <f>'IS (Bull-Case)'!E6-'IS (Base-Case)'!E6</f>
        <v>0</v>
      </c>
      <c r="F6" s="105">
        <f>'IS (Bull-Case)'!F6-'IS (Base-Case)'!F6</f>
        <v>0</v>
      </c>
      <c r="G6" s="105">
        <f>'IS (Bull-Case)'!G6-'IS (Base-Case)'!G6</f>
        <v>0</v>
      </c>
      <c r="H6" s="170">
        <f>'IS (Bull-Case)'!H6-'IS (Base-Case)'!H6</f>
        <v>0</v>
      </c>
      <c r="I6" s="105">
        <f>'IS (Bull-Case)'!I6-'IS (Base-Case)'!I6</f>
        <v>0</v>
      </c>
      <c r="J6" s="105">
        <f>'IS (Bull-Case)'!J6-'IS (Base-Case)'!J6</f>
        <v>0</v>
      </c>
      <c r="K6" s="105">
        <f>'IS (Bull-Case)'!K6-'IS (Base-Case)'!K6</f>
        <v>0</v>
      </c>
      <c r="L6" s="48">
        <f>'IS (Bull-Case)'!L6-'IS (Base-Case)'!L6</f>
        <v>0</v>
      </c>
      <c r="M6" s="49">
        <f>'IS (Bull-Case)'!M6-'IS (Base-Case)'!M6</f>
        <v>0</v>
      </c>
      <c r="N6" s="48">
        <f>'IS (Bull-Case)'!N6-'IS (Base-Case)'!N6</f>
        <v>0</v>
      </c>
      <c r="O6" s="48">
        <f>'IS (Bull-Case)'!O6-'IS (Base-Case)'!O6</f>
        <v>0</v>
      </c>
      <c r="P6" s="48">
        <f>'IS (Bull-Case)'!P6-'IS (Base-Case)'!P6</f>
        <v>0</v>
      </c>
      <c r="Q6" s="105">
        <f>'IS (Bull-Case)'!Q6-'IS (Base-Case)'!Q6</f>
        <v>0</v>
      </c>
      <c r="R6" s="49">
        <f>'IS (Bull-Case)'!R6-'IS (Base-Case)'!R6</f>
        <v>0</v>
      </c>
      <c r="S6" s="48">
        <f>'IS (Bull-Case)'!S6-'IS (Base-Case)'!S6</f>
        <v>0</v>
      </c>
      <c r="T6" s="48">
        <f>'IS (Bull-Case)'!T6-'IS (Base-Case)'!T6</f>
        <v>0</v>
      </c>
      <c r="U6" s="48">
        <f>'IS (Bull-Case)'!U6-'IS (Base-Case)'!U6</f>
        <v>0</v>
      </c>
      <c r="V6" s="48">
        <f>'IS (Bull-Case)'!V6-'IS (Base-Case)'!V6</f>
        <v>0</v>
      </c>
      <c r="W6" s="49">
        <f>'IS (Bull-Case)'!W6-'IS (Base-Case)'!W6</f>
        <v>0</v>
      </c>
      <c r="X6" s="48">
        <f>'IS (Bull-Case)'!X6-'IS (Base-Case)'!X6</f>
        <v>7.8333386368523179</v>
      </c>
      <c r="Y6" s="48">
        <f>'IS (Bull-Case)'!Y6-'IS (Base-Case)'!Y6</f>
        <v>7.7684312320916433</v>
      </c>
      <c r="Z6" s="48">
        <f>'IS (Bull-Case)'!Z6-'IS (Base-Case)'!Z6</f>
        <v>8.4107177211567432</v>
      </c>
      <c r="AA6" s="48">
        <f>'IS (Bull-Case)'!AA6-'IS (Base-Case)'!AA6</f>
        <v>7.9486854875653989</v>
      </c>
      <c r="AB6" s="49">
        <f>'IS (Bull-Case)'!AB6-'IS (Base-Case)'!AB6</f>
        <v>31.96117307766599</v>
      </c>
      <c r="AC6" s="48">
        <f>'IS (Bull-Case)'!AC6-'IS (Base-Case)'!AC6</f>
        <v>17.631589630187136</v>
      </c>
      <c r="AD6" s="48">
        <f>'IS (Bull-Case)'!AD6-'IS (Base-Case)'!AD6</f>
        <v>17.512157707736378</v>
      </c>
      <c r="AE6" s="48">
        <f>'IS (Bull-Case)'!AE6-'IS (Base-Case)'!AE6</f>
        <v>18.549839102490523</v>
      </c>
      <c r="AF6" s="48">
        <f>'IS (Bull-Case)'!AF6-'IS (Base-Case)'!AF6</f>
        <v>17.556435508753339</v>
      </c>
      <c r="AG6" s="49">
        <f>'IS (Bull-Case)'!AG6-'IS (Base-Case)'!AG6</f>
        <v>71.250021949166694</v>
      </c>
      <c r="AH6" s="48">
        <f>'IS (Bull-Case)'!AH6-'IS (Base-Case)'!AH6</f>
        <v>29.844394562575189</v>
      </c>
      <c r="AI6" s="48">
        <f>'IS (Bull-Case)'!AI6-'IS (Base-Case)'!AI6</f>
        <v>29.685154767469385</v>
      </c>
      <c r="AJ6" s="48">
        <f>'IS (Bull-Case)'!AJ6-'IS (Base-Case)'!AJ6</f>
        <v>31.251048129446417</v>
      </c>
      <c r="AK6" s="48">
        <f>'IS (Bull-Case)'!AK6-'IS (Base-Case)'!AK6</f>
        <v>29.616369072898124</v>
      </c>
      <c r="AL6" s="49">
        <f>'IS (Bull-Case)'!AL6-'IS (Base-Case)'!AL6</f>
        <v>120.39696653238934</v>
      </c>
      <c r="AM6" s="48">
        <f>'IS (Bull-Case)'!AM6-'IS (Base-Case)'!AM6</f>
        <v>32.779277981758696</v>
      </c>
      <c r="AN6" s="48">
        <f>'IS (Bull-Case)'!AN6-'IS (Base-Case)'!AN6</f>
        <v>32.309879081357394</v>
      </c>
      <c r="AO6" s="48">
        <f>'IS (Bull-Case)'!AO6-'IS (Base-Case)'!AO6</f>
        <v>33.711832471833532</v>
      </c>
      <c r="AP6" s="48">
        <f>'IS (Bull-Case)'!AP6-'IS (Base-Case)'!AP6</f>
        <v>31.668834175973416</v>
      </c>
      <c r="AQ6" s="49">
        <f>'IS (Bull-Case)'!AQ6-'IS (Base-Case)'!AQ6</f>
        <v>130.46982371092327</v>
      </c>
      <c r="AR6" s="48">
        <f>'IS (Bull-Case)'!AR6-'IS (Base-Case)'!AR6</f>
        <v>34.233450333658539</v>
      </c>
      <c r="AS6" s="48">
        <f>'IS (Bull-Case)'!AS6-'IS (Base-Case)'!AS6</f>
        <v>33.741615608987559</v>
      </c>
      <c r="AT6" s="48">
        <f>'IS (Bull-Case)'!AT6-'IS (Base-Case)'!AT6</f>
        <v>35.204022880453067</v>
      </c>
      <c r="AU6" s="48">
        <f>'IS (Bull-Case)'!AU6-'IS (Base-Case)'!AU6</f>
        <v>33.069036794961448</v>
      </c>
      <c r="AV6" s="49">
        <f>'IS (Bull-Case)'!AV6-'IS (Base-Case)'!AV6</f>
        <v>136.24812561806084</v>
      </c>
    </row>
    <row r="7" spans="1:48" ht="16.2" outlineLevel="1" x14ac:dyDescent="0.45">
      <c r="B7" s="435" t="s">
        <v>103</v>
      </c>
      <c r="C7" s="436"/>
      <c r="D7" s="104">
        <f>'IS (Bull-Case)'!D7-'IS (Base-Case)'!D7</f>
        <v>0</v>
      </c>
      <c r="E7" s="104">
        <f>'IS (Bull-Case)'!E7-'IS (Base-Case)'!E7</f>
        <v>0</v>
      </c>
      <c r="F7" s="104">
        <f>'IS (Bull-Case)'!F7-'IS (Base-Case)'!F7</f>
        <v>0</v>
      </c>
      <c r="G7" s="104">
        <f>'IS (Bull-Case)'!G7-'IS (Base-Case)'!G7</f>
        <v>0</v>
      </c>
      <c r="H7" s="173">
        <f>'IS (Bull-Case)'!H7-'IS (Base-Case)'!H7</f>
        <v>0</v>
      </c>
      <c r="I7" s="104">
        <f>'IS (Bull-Case)'!I7-'IS (Base-Case)'!I7</f>
        <v>0</v>
      </c>
      <c r="J7" s="104">
        <f>'IS (Bull-Case)'!J7-'IS (Base-Case)'!J7</f>
        <v>0</v>
      </c>
      <c r="K7" s="104">
        <f>'IS (Bull-Case)'!K7-'IS (Base-Case)'!K7</f>
        <v>0</v>
      </c>
      <c r="L7" s="52">
        <f>'IS (Bull-Case)'!L7-'IS (Base-Case)'!L7</f>
        <v>0</v>
      </c>
      <c r="M7" s="53">
        <f>'IS (Bull-Case)'!M7-'IS (Base-Case)'!M7</f>
        <v>0</v>
      </c>
      <c r="N7" s="52">
        <f>'IS (Bull-Case)'!N7-'IS (Base-Case)'!N7</f>
        <v>0</v>
      </c>
      <c r="O7" s="52">
        <f>'IS (Bull-Case)'!O7-'IS (Base-Case)'!O7</f>
        <v>0</v>
      </c>
      <c r="P7" s="52">
        <f>'IS (Bull-Case)'!P7-'IS (Base-Case)'!P7</f>
        <v>0</v>
      </c>
      <c r="Q7" s="104">
        <f>'IS (Bull-Case)'!Q7-'IS (Base-Case)'!Q7</f>
        <v>0</v>
      </c>
      <c r="R7" s="53">
        <f>'IS (Bull-Case)'!R7-'IS (Base-Case)'!R7</f>
        <v>0</v>
      </c>
      <c r="S7" s="52">
        <f>'IS (Bull-Case)'!S7-'IS (Base-Case)'!S7</f>
        <v>0</v>
      </c>
      <c r="T7" s="52">
        <f>'IS (Bull-Case)'!T7-'IS (Base-Case)'!T7</f>
        <v>0</v>
      </c>
      <c r="U7" s="52">
        <f>'IS (Bull-Case)'!U7-'IS (Base-Case)'!U7</f>
        <v>0</v>
      </c>
      <c r="V7" s="52">
        <f>'IS (Bull-Case)'!V7-'IS (Base-Case)'!V7</f>
        <v>0</v>
      </c>
      <c r="W7" s="173">
        <f>'IS (Bull-Case)'!W7-'IS (Base-Case)'!W7</f>
        <v>0</v>
      </c>
      <c r="X7" s="52">
        <f>'IS (Bull-Case)'!X7-'IS (Base-Case)'!X7</f>
        <v>0</v>
      </c>
      <c r="Y7" s="52">
        <f>'IS (Bull-Case)'!Y7-'IS (Base-Case)'!Y7</f>
        <v>0</v>
      </c>
      <c r="Z7" s="52">
        <f>'IS (Bull-Case)'!Z7-'IS (Base-Case)'!Z7</f>
        <v>0</v>
      </c>
      <c r="AA7" s="52">
        <f>'IS (Bull-Case)'!AA7-'IS (Base-Case)'!AA7</f>
        <v>0</v>
      </c>
      <c r="AB7" s="53">
        <f>'IS (Bull-Case)'!AB7-'IS (Base-Case)'!AB7</f>
        <v>0</v>
      </c>
      <c r="AC7" s="52">
        <f>'IS (Bull-Case)'!AC7-'IS (Base-Case)'!AC7</f>
        <v>0</v>
      </c>
      <c r="AD7" s="52">
        <f>'IS (Bull-Case)'!AD7-'IS (Base-Case)'!AD7</f>
        <v>0</v>
      </c>
      <c r="AE7" s="52">
        <f>'IS (Bull-Case)'!AE7-'IS (Base-Case)'!AE7</f>
        <v>0</v>
      </c>
      <c r="AF7" s="52">
        <f>'IS (Bull-Case)'!AF7-'IS (Base-Case)'!AF7</f>
        <v>0</v>
      </c>
      <c r="AG7" s="53">
        <f>'IS (Bull-Case)'!AG7-'IS (Base-Case)'!AG7</f>
        <v>0</v>
      </c>
      <c r="AH7" s="52">
        <f>'IS (Bull-Case)'!AH7-'IS (Base-Case)'!AH7</f>
        <v>0</v>
      </c>
      <c r="AI7" s="52">
        <f>'IS (Bull-Case)'!AI7-'IS (Base-Case)'!AI7</f>
        <v>0</v>
      </c>
      <c r="AJ7" s="52">
        <f>'IS (Bull-Case)'!AJ7-'IS (Base-Case)'!AJ7</f>
        <v>0</v>
      </c>
      <c r="AK7" s="52">
        <f>'IS (Bull-Case)'!AK7-'IS (Base-Case)'!AK7</f>
        <v>0</v>
      </c>
      <c r="AL7" s="53">
        <f>'IS (Bull-Case)'!AL7-'IS (Base-Case)'!AL7</f>
        <v>0</v>
      </c>
      <c r="AM7" s="52">
        <f>'IS (Bull-Case)'!AM7-'IS (Base-Case)'!AM7</f>
        <v>0</v>
      </c>
      <c r="AN7" s="52">
        <f>'IS (Bull-Case)'!AN7-'IS (Base-Case)'!AN7</f>
        <v>0</v>
      </c>
      <c r="AO7" s="52">
        <f>'IS (Bull-Case)'!AO7-'IS (Base-Case)'!AO7</f>
        <v>0</v>
      </c>
      <c r="AP7" s="52">
        <f>'IS (Bull-Case)'!AP7-'IS (Base-Case)'!AP7</f>
        <v>0</v>
      </c>
      <c r="AQ7" s="53">
        <f>'IS (Bull-Case)'!AQ7-'IS (Base-Case)'!AQ7</f>
        <v>0</v>
      </c>
      <c r="AR7" s="52">
        <f>'IS (Bull-Case)'!AR7-'IS (Base-Case)'!AR7</f>
        <v>0</v>
      </c>
      <c r="AS7" s="52">
        <f>'IS (Bull-Case)'!AS7-'IS (Base-Case)'!AS7</f>
        <v>0</v>
      </c>
      <c r="AT7" s="52">
        <f>'IS (Bull-Case)'!AT7-'IS (Base-Case)'!AT7</f>
        <v>0</v>
      </c>
      <c r="AU7" s="52">
        <f>'IS (Bull-Case)'!AU7-'IS (Base-Case)'!AU7</f>
        <v>0</v>
      </c>
      <c r="AV7" s="53">
        <f>'IS (Bull-Case)'!AV7-'IS (Base-Case)'!AV7</f>
        <v>0</v>
      </c>
    </row>
    <row r="8" spans="1:48" s="8" customFormat="1" x14ac:dyDescent="0.3">
      <c r="B8" s="445" t="s">
        <v>104</v>
      </c>
      <c r="C8" s="446"/>
      <c r="D8" s="103">
        <f>'IS (Bull-Case)'!D8-'IS (Base-Case)'!D8</f>
        <v>0</v>
      </c>
      <c r="E8" s="103">
        <f>'IS (Bull-Case)'!E8-'IS (Base-Case)'!E8</f>
        <v>0</v>
      </c>
      <c r="F8" s="103">
        <f>'IS (Bull-Case)'!F8-'IS (Base-Case)'!F8</f>
        <v>0</v>
      </c>
      <c r="G8" s="103">
        <f>'IS (Bull-Case)'!G8-'IS (Base-Case)'!G8</f>
        <v>0</v>
      </c>
      <c r="H8" s="171">
        <f>'IS (Bull-Case)'!H8-'IS (Base-Case)'!H8</f>
        <v>0</v>
      </c>
      <c r="I8" s="103">
        <f>'IS (Bull-Case)'!I8-'IS (Base-Case)'!I8</f>
        <v>0</v>
      </c>
      <c r="J8" s="103">
        <f>'IS (Bull-Case)'!J8-'IS (Base-Case)'!J8</f>
        <v>0</v>
      </c>
      <c r="K8" s="103">
        <f>'IS (Bull-Case)'!K8-'IS (Base-Case)'!K8</f>
        <v>0</v>
      </c>
      <c r="L8" s="103">
        <f>'IS (Bull-Case)'!L8-'IS (Base-Case)'!L8</f>
        <v>0</v>
      </c>
      <c r="M8" s="171">
        <f>'IS (Bull-Case)'!M8-'IS (Base-Case)'!M8</f>
        <v>0</v>
      </c>
      <c r="N8" s="103">
        <f>'IS (Bull-Case)'!N8-'IS (Base-Case)'!N8</f>
        <v>0</v>
      </c>
      <c r="O8" s="103">
        <f>'IS (Bull-Case)'!O8-'IS (Base-Case)'!O8</f>
        <v>0</v>
      </c>
      <c r="P8" s="103">
        <f>'IS (Bull-Case)'!P8-'IS (Base-Case)'!P8</f>
        <v>0</v>
      </c>
      <c r="Q8" s="103">
        <f>'IS (Bull-Case)'!Q8-'IS (Base-Case)'!Q8</f>
        <v>0</v>
      </c>
      <c r="R8" s="171">
        <f>'IS (Bull-Case)'!R8-'IS (Base-Case)'!R8</f>
        <v>0</v>
      </c>
      <c r="S8" s="103">
        <f>'IS (Bull-Case)'!S8-'IS (Base-Case)'!S8</f>
        <v>0</v>
      </c>
      <c r="T8" s="103">
        <f>'IS (Bull-Case)'!T8-'IS (Base-Case)'!T8</f>
        <v>0</v>
      </c>
      <c r="U8" s="103">
        <f>'IS (Bull-Case)'!U8-'IS (Base-Case)'!U8</f>
        <v>0</v>
      </c>
      <c r="V8" s="103">
        <f>'IS (Bull-Case)'!V8-'IS (Base-Case)'!V8</f>
        <v>0</v>
      </c>
      <c r="W8" s="171">
        <f>'IS (Bull-Case)'!W8-'IS (Base-Case)'!W8</f>
        <v>0</v>
      </c>
      <c r="X8" s="50">
        <f>'IS (Bull-Case)'!X8-'IS (Base-Case)'!X8</f>
        <v>88.385919667669441</v>
      </c>
      <c r="Y8" s="50">
        <f>'IS (Bull-Case)'!Y8-'IS (Base-Case)'!Y8</f>
        <v>84.123325497730548</v>
      </c>
      <c r="Z8" s="50">
        <f>'IS (Bull-Case)'!Z8-'IS (Base-Case)'!Z8</f>
        <v>93.549887937113454</v>
      </c>
      <c r="AA8" s="50">
        <f>'IS (Bull-Case)'!AA8-'IS (Base-Case)'!AA8</f>
        <v>91.565570660603044</v>
      </c>
      <c r="AB8" s="171">
        <f>'IS (Bull-Case)'!AB8-'IS (Base-Case)'!AB8</f>
        <v>357.6247037631183</v>
      </c>
      <c r="AC8" s="50">
        <f>'IS (Bull-Case)'!AC8-'IS (Base-Case)'!AC8</f>
        <v>193.79835277577513</v>
      </c>
      <c r="AD8" s="50">
        <f>'IS (Bull-Case)'!AD8-'IS (Base-Case)'!AD8</f>
        <v>184.65834877452289</v>
      </c>
      <c r="AE8" s="50">
        <f>'IS (Bull-Case)'!AE8-'IS (Base-Case)'!AE8</f>
        <v>203.36256800620868</v>
      </c>
      <c r="AF8" s="50">
        <f>'IS (Bull-Case)'!AF8-'IS (Base-Case)'!AF8</f>
        <v>199.2509359309679</v>
      </c>
      <c r="AG8" s="51">
        <f>'IS (Bull-Case)'!AG8-'IS (Base-Case)'!AG8</f>
        <v>781.07020548747096</v>
      </c>
      <c r="AH8" s="50">
        <f>'IS (Bull-Case)'!AH8-'IS (Base-Case)'!AH8</f>
        <v>321.77677937333283</v>
      </c>
      <c r="AI8" s="50">
        <f>'IS (Bull-Case)'!AI8-'IS (Base-Case)'!AI8</f>
        <v>306.97580154768366</v>
      </c>
      <c r="AJ8" s="50">
        <f>'IS (Bull-Case)'!AJ8-'IS (Base-Case)'!AJ8</f>
        <v>337.22634384223784</v>
      </c>
      <c r="AK8" s="50">
        <f>'IS (Bull-Case)'!AK8-'IS (Base-Case)'!AK8</f>
        <v>330.72419931725381</v>
      </c>
      <c r="AL8" s="51">
        <f>'IS (Bull-Case)'!AL8-'IS (Base-Case)'!AL8</f>
        <v>1296.7031240805154</v>
      </c>
      <c r="AM8" s="50">
        <f>'IS (Bull-Case)'!AM8-'IS (Base-Case)'!AM8</f>
        <v>349.28670031622823</v>
      </c>
      <c r="AN8" s="50">
        <f>'IS (Bull-Case)'!AN8-'IS (Base-Case)'!AN8</f>
        <v>333.137003171787</v>
      </c>
      <c r="AO8" s="50">
        <f>'IS (Bull-Case)'!AO8-'IS (Base-Case)'!AO8</f>
        <v>365.86904070954006</v>
      </c>
      <c r="AP8" s="50">
        <f>'IS (Bull-Case)'!AP8-'IS (Base-Case)'!AP8</f>
        <v>358.7461520292527</v>
      </c>
      <c r="AQ8" s="51">
        <f>'IS (Bull-Case)'!AQ8-'IS (Base-Case)'!AQ8</f>
        <v>1407.0388962268044</v>
      </c>
      <c r="AR8" s="50">
        <f>'IS (Bull-Case)'!AR8-'IS (Base-Case)'!AR8</f>
        <v>371.54458817300838</v>
      </c>
      <c r="AS8" s="50">
        <f>'IS (Bull-Case)'!AS8-'IS (Base-Case)'!AS8</f>
        <v>354.24939652800822</v>
      </c>
      <c r="AT8" s="50">
        <f>'IS (Bull-Case)'!AT8-'IS (Base-Case)'!AT8</f>
        <v>388.99126604777666</v>
      </c>
      <c r="AU8" s="50">
        <f>'IS (Bull-Case)'!AU8-'IS (Base-Case)'!AU8</f>
        <v>381.34849816317728</v>
      </c>
      <c r="AV8" s="51">
        <f>'IS (Bull-Case)'!AV8-'IS (Base-Case)'!AV8</f>
        <v>1496.1337489119687</v>
      </c>
    </row>
    <row r="9" spans="1:48" outlineLevel="1" x14ac:dyDescent="0.3">
      <c r="B9" s="459" t="s">
        <v>100</v>
      </c>
      <c r="C9" s="460"/>
      <c r="D9" s="105">
        <f>'IS (Bull-Case)'!D9-'IS (Base-Case)'!D9</f>
        <v>0</v>
      </c>
      <c r="E9" s="105">
        <f>'IS (Bull-Case)'!E9-'IS (Base-Case)'!E9</f>
        <v>0</v>
      </c>
      <c r="F9" s="105">
        <f>'IS (Bull-Case)'!F9-'IS (Base-Case)'!F9</f>
        <v>0</v>
      </c>
      <c r="G9" s="105">
        <f>'IS (Bull-Case)'!G9-'IS (Base-Case)'!G9</f>
        <v>0</v>
      </c>
      <c r="H9" s="170">
        <f>'IS (Bull-Case)'!H9-'IS (Base-Case)'!H9</f>
        <v>0</v>
      </c>
      <c r="I9" s="105">
        <f>'IS (Bull-Case)'!I9-'IS (Base-Case)'!I9</f>
        <v>0</v>
      </c>
      <c r="J9" s="105">
        <f>'IS (Bull-Case)'!J9-'IS (Base-Case)'!J9</f>
        <v>0</v>
      </c>
      <c r="K9" s="105">
        <f>'IS (Bull-Case)'!K9-'IS (Base-Case)'!K9</f>
        <v>0</v>
      </c>
      <c r="L9" s="105">
        <f>'IS (Bull-Case)'!L9-'IS (Base-Case)'!L9</f>
        <v>0</v>
      </c>
      <c r="M9" s="170">
        <f>'IS (Bull-Case)'!M9-'IS (Base-Case)'!M9</f>
        <v>0</v>
      </c>
      <c r="N9" s="105">
        <f>'IS (Bull-Case)'!N9-'IS (Base-Case)'!N9</f>
        <v>0</v>
      </c>
      <c r="O9" s="105">
        <f>'IS (Bull-Case)'!O9-'IS (Base-Case)'!O9</f>
        <v>0</v>
      </c>
      <c r="P9" s="105">
        <f>'IS (Bull-Case)'!P9-'IS (Base-Case)'!P9</f>
        <v>0</v>
      </c>
      <c r="Q9" s="105">
        <f>'IS (Bull-Case)'!Q9-'IS (Base-Case)'!Q9</f>
        <v>0</v>
      </c>
      <c r="R9" s="170">
        <f>'IS (Bull-Case)'!R9-'IS (Base-Case)'!R9</f>
        <v>0</v>
      </c>
      <c r="S9" s="105">
        <f>'IS (Bull-Case)'!S9-'IS (Base-Case)'!S9</f>
        <v>0</v>
      </c>
      <c r="T9" s="105">
        <f>'IS (Bull-Case)'!T9-'IS (Base-Case)'!T9</f>
        <v>0</v>
      </c>
      <c r="U9" s="105">
        <f>'IS (Bull-Case)'!U9-'IS (Base-Case)'!U9</f>
        <v>0</v>
      </c>
      <c r="V9" s="105">
        <f>'IS (Bull-Case)'!V9-'IS (Base-Case)'!V9</f>
        <v>0</v>
      </c>
      <c r="W9" s="170">
        <f>'IS (Bull-Case)'!W9-'IS (Base-Case)'!W9</f>
        <v>0</v>
      </c>
      <c r="X9" s="105">
        <f>'IS (Bull-Case)'!X9-'IS (Base-Case)'!X9</f>
        <v>25.565530510102235</v>
      </c>
      <c r="Y9" s="105">
        <f>'IS (Bull-Case)'!Y9-'IS (Base-Case)'!Y9</f>
        <v>24.370449540482696</v>
      </c>
      <c r="Z9" s="105">
        <f>'IS (Bull-Case)'!Z9-'IS (Base-Case)'!Z9</f>
        <v>26.687999243456943</v>
      </c>
      <c r="AA9" s="105">
        <f>'IS (Bull-Case)'!AA9-'IS (Base-Case)'!AA9</f>
        <v>25.337550281839867</v>
      </c>
      <c r="AB9" s="49">
        <f>'IS (Bull-Case)'!AB9-'IS (Base-Case)'!AB9</f>
        <v>101.96152957588492</v>
      </c>
      <c r="AC9" s="105">
        <f>'IS (Bull-Case)'!AC9-'IS (Base-Case)'!AC9</f>
        <v>47.114865964461387</v>
      </c>
      <c r="AD9" s="105">
        <f>'IS (Bull-Case)'!AD9-'IS (Base-Case)'!AD9</f>
        <v>46.637416599750395</v>
      </c>
      <c r="AE9" s="105">
        <f>'IS (Bull-Case)'!AE9-'IS (Base-Case)'!AE9</f>
        <v>50.539578041307777</v>
      </c>
      <c r="AF9" s="105">
        <f>'IS (Bull-Case)'!AF9-'IS (Base-Case)'!AF9</f>
        <v>50.002641724107889</v>
      </c>
      <c r="AG9" s="49">
        <f>'IS (Bull-Case)'!AG9-'IS (Base-Case)'!AG9</f>
        <v>194.29450232962699</v>
      </c>
      <c r="AH9" s="105">
        <f>'IS (Bull-Case)'!AH9-'IS (Base-Case)'!AH9</f>
        <v>73.880492509066244</v>
      </c>
      <c r="AI9" s="105">
        <f>'IS (Bull-Case)'!AI9-'IS (Base-Case)'!AI9</f>
        <v>73.382407578141738</v>
      </c>
      <c r="AJ9" s="105">
        <f>'IS (Bull-Case)'!AJ9-'IS (Base-Case)'!AJ9</f>
        <v>79.238241086879498</v>
      </c>
      <c r="AK9" s="105">
        <f>'IS (Bull-Case)'!AK9-'IS (Base-Case)'!AK9</f>
        <v>78.515238904247781</v>
      </c>
      <c r="AL9" s="49">
        <f>'IS (Bull-Case)'!AL9-'IS (Base-Case)'!AL9</f>
        <v>305.01638007833571</v>
      </c>
      <c r="AM9" s="105">
        <f>'IS (Bull-Case)'!AM9-'IS (Base-Case)'!AM9</f>
        <v>80.196985981632224</v>
      </c>
      <c r="AN9" s="105">
        <f>'IS (Bull-Case)'!AN9-'IS (Base-Case)'!AN9</f>
        <v>79.636523937060701</v>
      </c>
      <c r="AO9" s="105">
        <f>'IS (Bull-Case)'!AO9-'IS (Base-Case)'!AO9</f>
        <v>85.968761011292372</v>
      </c>
      <c r="AP9" s="105">
        <f>'IS (Bull-Case)'!AP9-'IS (Base-Case)'!AP9</f>
        <v>85.168097338015741</v>
      </c>
      <c r="AQ9" s="49">
        <f>'IS (Bull-Case)'!AQ9-'IS (Base-Case)'!AQ9</f>
        <v>330.97036826800104</v>
      </c>
      <c r="AR9" s="105">
        <f>'IS (Bull-Case)'!AR9-'IS (Base-Case)'!AR9</f>
        <v>85.307968013390109</v>
      </c>
      <c r="AS9" s="105">
        <f>'IS (Bull-Case)'!AS9-'IS (Base-Case)'!AS9</f>
        <v>84.683964159274183</v>
      </c>
      <c r="AT9" s="105">
        <f>'IS (Bull-Case)'!AT9-'IS (Base-Case)'!AT9</f>
        <v>91.402069161596955</v>
      </c>
      <c r="AU9" s="105">
        <f>'IS (Bull-Case)'!AU9-'IS (Base-Case)'!AU9</f>
        <v>90.534254744869031</v>
      </c>
      <c r="AV9" s="49">
        <f>'IS (Bull-Case)'!AV9-'IS (Base-Case)'!AV9</f>
        <v>351.92825607913073</v>
      </c>
    </row>
    <row r="10" spans="1:48" outlineLevel="1" x14ac:dyDescent="0.3">
      <c r="B10" s="38" t="s">
        <v>32</v>
      </c>
      <c r="C10" s="18"/>
      <c r="D10" s="105">
        <f>'IS (Bull-Case)'!D10-'IS (Base-Case)'!D10</f>
        <v>0</v>
      </c>
      <c r="E10" s="105">
        <f>'IS (Bull-Case)'!E10-'IS (Base-Case)'!E10</f>
        <v>0</v>
      </c>
      <c r="F10" s="105">
        <f>'IS (Bull-Case)'!F10-'IS (Base-Case)'!F10</f>
        <v>0</v>
      </c>
      <c r="G10" s="105">
        <f>'IS (Bull-Case)'!G10-'IS (Base-Case)'!G10</f>
        <v>0</v>
      </c>
      <c r="H10" s="170">
        <f>'IS (Bull-Case)'!H10-'IS (Base-Case)'!H10</f>
        <v>0</v>
      </c>
      <c r="I10" s="105">
        <f>'IS (Bull-Case)'!I10-'IS (Base-Case)'!I10</f>
        <v>0</v>
      </c>
      <c r="J10" s="105">
        <f>'IS (Bull-Case)'!J10-'IS (Base-Case)'!J10</f>
        <v>0</v>
      </c>
      <c r="K10" s="105">
        <f>'IS (Bull-Case)'!K10-'IS (Base-Case)'!K10</f>
        <v>0</v>
      </c>
      <c r="L10" s="48">
        <f>'IS (Bull-Case)'!L10-'IS (Base-Case)'!L10</f>
        <v>0</v>
      </c>
      <c r="M10" s="49">
        <f>'IS (Bull-Case)'!M10-'IS (Base-Case)'!M10</f>
        <v>0</v>
      </c>
      <c r="N10" s="48">
        <f>'IS (Bull-Case)'!N10-'IS (Base-Case)'!N10</f>
        <v>0</v>
      </c>
      <c r="O10" s="105">
        <f>'IS (Bull-Case)'!O10-'IS (Base-Case)'!O10</f>
        <v>0</v>
      </c>
      <c r="P10" s="105">
        <f>'IS (Bull-Case)'!P10-'IS (Base-Case)'!P10</f>
        <v>0</v>
      </c>
      <c r="Q10" s="105">
        <f>'IS (Bull-Case)'!Q10-'IS (Base-Case)'!Q10</f>
        <v>0</v>
      </c>
      <c r="R10" s="170">
        <f>'IS (Bull-Case)'!R10-'IS (Base-Case)'!R10</f>
        <v>0</v>
      </c>
      <c r="S10" s="48">
        <f>'IS (Bull-Case)'!S10-'IS (Base-Case)'!S10</f>
        <v>0</v>
      </c>
      <c r="T10" s="48">
        <f>'IS (Bull-Case)'!T10-'IS (Base-Case)'!T10</f>
        <v>0</v>
      </c>
      <c r="U10" s="48">
        <f>'IS (Bull-Case)'!U10-'IS (Base-Case)'!U10</f>
        <v>0</v>
      </c>
      <c r="V10" s="48">
        <f>'IS (Bull-Case)'!V10-'IS (Base-Case)'!V10</f>
        <v>0</v>
      </c>
      <c r="W10" s="170">
        <f>'IS (Bull-Case)'!W10-'IS (Base-Case)'!W10</f>
        <v>0</v>
      </c>
      <c r="X10" s="48">
        <f>'IS (Bull-Case)'!X10-'IS (Base-Case)'!X10</f>
        <v>42.152114658607388</v>
      </c>
      <c r="Y10" s="48">
        <f>'IS (Bull-Case)'!Y10-'IS (Base-Case)'!Y10</f>
        <v>40.800683926506736</v>
      </c>
      <c r="Z10" s="48">
        <f>'IS (Bull-Case)'!Z10-'IS (Base-Case)'!Z10</f>
        <v>42.08363150419882</v>
      </c>
      <c r="AA10" s="48">
        <f>'IS (Bull-Case)'!AA10-'IS (Base-Case)'!AA10</f>
        <v>41.956900234075874</v>
      </c>
      <c r="AB10" s="49">
        <f>'IS (Bull-Case)'!AB10-'IS (Base-Case)'!AB10</f>
        <v>166.99333032338836</v>
      </c>
      <c r="AC10" s="48">
        <f>'IS (Bull-Case)'!AC10-'IS (Base-Case)'!AC10</f>
        <v>84.067657647693522</v>
      </c>
      <c r="AD10" s="48">
        <f>'IS (Bull-Case)'!AD10-'IS (Base-Case)'!AD10</f>
        <v>83.117434329259595</v>
      </c>
      <c r="AE10" s="48">
        <f>'IS (Bull-Case)'!AE10-'IS (Base-Case)'!AE10</f>
        <v>84.55930303293826</v>
      </c>
      <c r="AF10" s="48">
        <f>'IS (Bull-Case)'!AF10-'IS (Base-Case)'!AF10</f>
        <v>86.490884278628982</v>
      </c>
      <c r="AG10" s="49">
        <f>'IS (Bull-Case)'!AG10-'IS (Base-Case)'!AG10</f>
        <v>338.23527928852127</v>
      </c>
      <c r="AH10" s="48">
        <f>'IS (Bull-Case)'!AH10-'IS (Base-Case)'!AH10</f>
        <v>135.36666660017545</v>
      </c>
      <c r="AI10" s="48">
        <f>'IS (Bull-Case)'!AI10-'IS (Base-Case)'!AI10</f>
        <v>134.14232775397886</v>
      </c>
      <c r="AJ10" s="48">
        <f>'IS (Bull-Case)'!AJ10-'IS (Base-Case)'!AJ10</f>
        <v>135.85100334693107</v>
      </c>
      <c r="AK10" s="48">
        <f>'IS (Bull-Case)'!AK10-'IS (Base-Case)'!AK10</f>
        <v>139.25531914919065</v>
      </c>
      <c r="AL10" s="49">
        <f>'IS (Bull-Case)'!AL10-'IS (Base-Case)'!AL10</f>
        <v>544.61531685027512</v>
      </c>
      <c r="AM10" s="48">
        <f>'IS (Bull-Case)'!AM10-'IS (Base-Case)'!AM10</f>
        <v>146.76191113022469</v>
      </c>
      <c r="AN10" s="48">
        <f>'IS (Bull-Case)'!AN10-'IS (Base-Case)'!AN10</f>
        <v>145.52835137281181</v>
      </c>
      <c r="AO10" s="48">
        <f>'IS (Bull-Case)'!AO10-'IS (Base-Case)'!AO10</f>
        <v>147.47559897895826</v>
      </c>
      <c r="AP10" s="48">
        <f>'IS (Bull-Case)'!AP10-'IS (Base-Case)'!AP10</f>
        <v>151.26559892898604</v>
      </c>
      <c r="AQ10" s="49">
        <f>'IS (Bull-Case)'!AQ10-'IS (Base-Case)'!AQ10</f>
        <v>591.0314604109808</v>
      </c>
      <c r="AR10" s="48">
        <f>'IS (Bull-Case)'!AR10-'IS (Base-Case)'!AR10</f>
        <v>156.40842438917571</v>
      </c>
      <c r="AS10" s="48">
        <f>'IS (Bull-Case)'!AS10-'IS (Base-Case)'!AS10</f>
        <v>155.0490804322626</v>
      </c>
      <c r="AT10" s="48">
        <f>'IS (Bull-Case)'!AT10-'IS (Base-Case)'!AT10</f>
        <v>157.0791911277056</v>
      </c>
      <c r="AU10" s="48">
        <f>'IS (Bull-Case)'!AU10-'IS (Base-Case)'!AU10</f>
        <v>161.07109372273862</v>
      </c>
      <c r="AV10" s="49">
        <f>'IS (Bull-Case)'!AV10-'IS (Base-Case)'!AV10</f>
        <v>629.60778967187798</v>
      </c>
    </row>
    <row r="11" spans="1:48" outlineLevel="1" x14ac:dyDescent="0.3">
      <c r="B11" s="38" t="s">
        <v>33</v>
      </c>
      <c r="C11" s="18"/>
      <c r="D11" s="105">
        <f>'IS (Bull-Case)'!D11-'IS (Base-Case)'!D11</f>
        <v>0</v>
      </c>
      <c r="E11" s="105">
        <f>'IS (Bull-Case)'!E11-'IS (Base-Case)'!E11</f>
        <v>0</v>
      </c>
      <c r="F11" s="105">
        <f>'IS (Bull-Case)'!F11-'IS (Base-Case)'!F11</f>
        <v>0</v>
      </c>
      <c r="G11" s="105">
        <f>'IS (Bull-Case)'!G11-'IS (Base-Case)'!G11</f>
        <v>0</v>
      </c>
      <c r="H11" s="170">
        <f>'IS (Bull-Case)'!H11-'IS (Base-Case)'!H11</f>
        <v>0</v>
      </c>
      <c r="I11" s="105">
        <f>'IS (Bull-Case)'!I11-'IS (Base-Case)'!I11</f>
        <v>0</v>
      </c>
      <c r="J11" s="105">
        <f>'IS (Bull-Case)'!J11-'IS (Base-Case)'!J11</f>
        <v>0</v>
      </c>
      <c r="K11" s="105">
        <f>'IS (Bull-Case)'!K11-'IS (Base-Case)'!K11</f>
        <v>0</v>
      </c>
      <c r="L11" s="48">
        <f>'IS (Bull-Case)'!L11-'IS (Base-Case)'!L11</f>
        <v>0</v>
      </c>
      <c r="M11" s="49">
        <f>'IS (Bull-Case)'!M11-'IS (Base-Case)'!M11</f>
        <v>0</v>
      </c>
      <c r="N11" s="48">
        <f>'IS (Bull-Case)'!N11-'IS (Base-Case)'!N11</f>
        <v>0</v>
      </c>
      <c r="O11" s="105">
        <f>'IS (Bull-Case)'!O11-'IS (Base-Case)'!O11</f>
        <v>0</v>
      </c>
      <c r="P11" s="105">
        <f>'IS (Bull-Case)'!P11-'IS (Base-Case)'!P11</f>
        <v>0</v>
      </c>
      <c r="Q11" s="105">
        <f>'IS (Bull-Case)'!Q11-'IS (Base-Case)'!Q11</f>
        <v>0</v>
      </c>
      <c r="R11" s="170">
        <f>'IS (Bull-Case)'!R11-'IS (Base-Case)'!R11</f>
        <v>0</v>
      </c>
      <c r="S11" s="48">
        <f>'IS (Bull-Case)'!S11-'IS (Base-Case)'!S11</f>
        <v>0</v>
      </c>
      <c r="T11" s="48">
        <f>'IS (Bull-Case)'!T11-'IS (Base-Case)'!T11</f>
        <v>0</v>
      </c>
      <c r="U11" s="48">
        <f>'IS (Bull-Case)'!U11-'IS (Base-Case)'!U11</f>
        <v>0</v>
      </c>
      <c r="V11" s="48">
        <f>'IS (Bull-Case)'!V11-'IS (Base-Case)'!V11</f>
        <v>0</v>
      </c>
      <c r="W11" s="170">
        <f>'IS (Bull-Case)'!W11-'IS (Base-Case)'!W11</f>
        <v>0</v>
      </c>
      <c r="X11" s="48">
        <f>'IS (Bull-Case)'!X11-'IS (Base-Case)'!X11</f>
        <v>0.74319231861237256</v>
      </c>
      <c r="Y11" s="48">
        <f>'IS (Bull-Case)'!Y11-'IS (Base-Case)'!Y11</f>
        <v>0.72758481571571565</v>
      </c>
      <c r="Z11" s="48">
        <f>'IS (Bull-Case)'!Z11-'IS (Base-Case)'!Z11</f>
        <v>0.8554509097643006</v>
      </c>
      <c r="AA11" s="48">
        <f>'IS (Bull-Case)'!AA11-'IS (Base-Case)'!AA11</f>
        <v>0.82409013594542557</v>
      </c>
      <c r="AB11" s="49">
        <f>'IS (Bull-Case)'!AB11-'IS (Base-Case)'!AB11</f>
        <v>3.150318180037857</v>
      </c>
      <c r="AC11" s="48">
        <f>'IS (Bull-Case)'!AC11-'IS (Base-Case)'!AC11</f>
        <v>1.6295519431628378</v>
      </c>
      <c r="AD11" s="48">
        <f>'IS (Bull-Case)'!AD11-'IS (Base-Case)'!AD11</f>
        <v>1.5971148295499233</v>
      </c>
      <c r="AE11" s="48">
        <f>'IS (Bull-Case)'!AE11-'IS (Base-Case)'!AE11</f>
        <v>1.8596141336894334</v>
      </c>
      <c r="AF11" s="48">
        <f>'IS (Bull-Case)'!AF11-'IS (Base-Case)'!AF11</f>
        <v>1.7932584233786883</v>
      </c>
      <c r="AG11" s="49">
        <f>'IS (Bull-Case)'!AG11-'IS (Base-Case)'!AG11</f>
        <v>6.8795393297809824</v>
      </c>
      <c r="AH11" s="48">
        <f>'IS (Bull-Case)'!AH11-'IS (Base-Case)'!AH11</f>
        <v>2.7056575485921428</v>
      </c>
      <c r="AI11" s="48">
        <f>'IS (Bull-Case)'!AI11-'IS (Base-Case)'!AI11</f>
        <v>2.6550416388886902</v>
      </c>
      <c r="AJ11" s="48">
        <f>'IS (Bull-Case)'!AJ11-'IS (Base-Case)'!AJ11</f>
        <v>3.0837084789482105</v>
      </c>
      <c r="AK11" s="48">
        <f>'IS (Bull-Case)'!AK11-'IS (Base-Case)'!AK11</f>
        <v>2.9765177938552938</v>
      </c>
      <c r="AL11" s="49">
        <f>'IS (Bull-Case)'!AL11-'IS (Base-Case)'!AL11</f>
        <v>11.420925460284252</v>
      </c>
      <c r="AM11" s="48">
        <f>'IS (Bull-Case)'!AM11-'IS (Base-Case)'!AM11</f>
        <v>2.93697450504024</v>
      </c>
      <c r="AN11" s="48">
        <f>'IS (Bull-Case)'!AN11-'IS (Base-Case)'!AN11</f>
        <v>2.8813105476598366</v>
      </c>
      <c r="AO11" s="48">
        <f>'IS (Bull-Case)'!AO11-'IS (Base-Case)'!AO11</f>
        <v>3.3456267092480516</v>
      </c>
      <c r="AP11" s="48">
        <f>'IS (Bull-Case)'!AP11-'IS (Base-Case)'!AP11</f>
        <v>3.2287153682632663</v>
      </c>
      <c r="AQ11" s="49">
        <f>'IS (Bull-Case)'!AQ11-'IS (Base-Case)'!AQ11</f>
        <v>12.392627130211508</v>
      </c>
      <c r="AR11" s="48">
        <f>'IS (Bull-Case)'!AR11-'IS (Base-Case)'!AR11</f>
        <v>3.1241297821012779</v>
      </c>
      <c r="AS11" s="48">
        <f>'IS (Bull-Case)'!AS11-'IS (Base-Case)'!AS11</f>
        <v>3.0639121832765568</v>
      </c>
      <c r="AT11" s="48">
        <f>'IS (Bull-Case)'!AT11-'IS (Base-Case)'!AT11</f>
        <v>3.557063934214824</v>
      </c>
      <c r="AU11" s="48">
        <f>'IS (Bull-Case)'!AU11-'IS (Base-Case)'!AU11</f>
        <v>3.4321364834685824</v>
      </c>
      <c r="AV11" s="49">
        <f>'IS (Bull-Case)'!AV11-'IS (Base-Case)'!AV11</f>
        <v>13.177242383061298</v>
      </c>
    </row>
    <row r="12" spans="1:48" outlineLevel="1" x14ac:dyDescent="0.3">
      <c r="B12" s="38" t="s">
        <v>34</v>
      </c>
      <c r="C12" s="18"/>
      <c r="D12" s="105">
        <f>'IS (Bull-Case)'!D12-'IS (Base-Case)'!D12</f>
        <v>0</v>
      </c>
      <c r="E12" s="105">
        <f>'IS (Bull-Case)'!E12-'IS (Base-Case)'!E12</f>
        <v>0</v>
      </c>
      <c r="F12" s="105">
        <f>'IS (Bull-Case)'!F12-'IS (Base-Case)'!F12</f>
        <v>0</v>
      </c>
      <c r="G12" s="105">
        <f>'IS (Bull-Case)'!G12-'IS (Base-Case)'!G12</f>
        <v>0</v>
      </c>
      <c r="H12" s="170">
        <f>'IS (Bull-Case)'!H12-'IS (Base-Case)'!H12</f>
        <v>0</v>
      </c>
      <c r="I12" s="105">
        <f>'IS (Bull-Case)'!I12-'IS (Base-Case)'!I12</f>
        <v>0</v>
      </c>
      <c r="J12" s="105">
        <f>'IS (Bull-Case)'!J12-'IS (Base-Case)'!J12</f>
        <v>0</v>
      </c>
      <c r="K12" s="105">
        <f>'IS (Bull-Case)'!K12-'IS (Base-Case)'!K12</f>
        <v>0</v>
      </c>
      <c r="L12" s="48">
        <f>'IS (Bull-Case)'!L12-'IS (Base-Case)'!L12</f>
        <v>0</v>
      </c>
      <c r="M12" s="49">
        <f>'IS (Bull-Case)'!M12-'IS (Base-Case)'!M12</f>
        <v>0</v>
      </c>
      <c r="N12" s="48">
        <f>'IS (Bull-Case)'!N12-'IS (Base-Case)'!N12</f>
        <v>0</v>
      </c>
      <c r="O12" s="105">
        <f>'IS (Bull-Case)'!O12-'IS (Base-Case)'!O12</f>
        <v>0</v>
      </c>
      <c r="P12" s="105">
        <f>'IS (Bull-Case)'!P12-'IS (Base-Case)'!P12</f>
        <v>0</v>
      </c>
      <c r="Q12" s="105">
        <f>'IS (Bull-Case)'!Q12-'IS (Base-Case)'!Q12</f>
        <v>0</v>
      </c>
      <c r="R12" s="170">
        <f>'IS (Bull-Case)'!R12-'IS (Base-Case)'!R12</f>
        <v>0</v>
      </c>
      <c r="S12" s="48">
        <f>'IS (Bull-Case)'!S12-'IS (Base-Case)'!S12</f>
        <v>0</v>
      </c>
      <c r="T12" s="48">
        <f>'IS (Bull-Case)'!T12-'IS (Base-Case)'!T12</f>
        <v>0</v>
      </c>
      <c r="U12" s="48">
        <f>'IS (Bull-Case)'!U12-'IS (Base-Case)'!U12</f>
        <v>0</v>
      </c>
      <c r="V12" s="48">
        <f>'IS (Bull-Case)'!V12-'IS (Base-Case)'!V12</f>
        <v>0</v>
      </c>
      <c r="W12" s="170">
        <f>'IS (Bull-Case)'!W12-'IS (Base-Case)'!W12</f>
        <v>0</v>
      </c>
      <c r="X12" s="48">
        <f>'IS (Bull-Case)'!X12-'IS (Base-Case)'!X12</f>
        <v>0</v>
      </c>
      <c r="Y12" s="48">
        <f>'IS (Bull-Case)'!Y12-'IS (Base-Case)'!Y12</f>
        <v>6.3131794547075515E-3</v>
      </c>
      <c r="Z12" s="48">
        <f>'IS (Bull-Case)'!Z12-'IS (Base-Case)'!Z12</f>
        <v>5.6252336098623346E-3</v>
      </c>
      <c r="AA12" s="48">
        <f>'IS (Bull-Case)'!AA12-'IS (Base-Case)'!AA12</f>
        <v>1.1249185897611369E-2</v>
      </c>
      <c r="AB12" s="49">
        <f>'IS (Bull-Case)'!AB12-'IS (Base-Case)'!AB12</f>
        <v>2.3187598962294942E-2</v>
      </c>
      <c r="AC12" s="48">
        <f>'IS (Bull-Case)'!AC12-'IS (Base-Case)'!AC12</f>
        <v>-1.4081123280789143E-3</v>
      </c>
      <c r="AD12" s="48">
        <f>'IS (Bull-Case)'!AD12-'IS (Base-Case)'!AD12</f>
        <v>1.3846391842662342E-3</v>
      </c>
      <c r="AE12" s="48">
        <f>'IS (Bull-Case)'!AE12-'IS (Base-Case)'!AE12</f>
        <v>9.5082670680426418E-3</v>
      </c>
      <c r="AF12" s="48">
        <f>'IS (Bull-Case)'!AF12-'IS (Base-Case)'!AF12</f>
        <v>2.1782310131186478E-2</v>
      </c>
      <c r="AG12" s="49">
        <f>'IS (Bull-Case)'!AG12-'IS (Base-Case)'!AG12</f>
        <v>3.1267104055359596E-2</v>
      </c>
      <c r="AH12" s="48">
        <f>'IS (Bull-Case)'!AH12-'IS (Base-Case)'!AH12</f>
        <v>-3.3068371328113244E-3</v>
      </c>
      <c r="AI12" s="48">
        <f>'IS (Bull-Case)'!AI12-'IS (Base-Case)'!AI12</f>
        <v>1.3762360876512503E-3</v>
      </c>
      <c r="AJ12" s="48">
        <f>'IS (Bull-Case)'!AJ12-'IS (Base-Case)'!AJ12</f>
        <v>1.5983167310025692E-2</v>
      </c>
      <c r="AK12" s="48">
        <f>'IS (Bull-Case)'!AK12-'IS (Base-Case)'!AK12</f>
        <v>3.3106219558931116E-2</v>
      </c>
      <c r="AL12" s="49">
        <f>'IS (Bull-Case)'!AL12-'IS (Base-Case)'!AL12</f>
        <v>4.715878582373989E-2</v>
      </c>
      <c r="AM12" s="48">
        <f>'IS (Bull-Case)'!AM12-'IS (Base-Case)'!AM12</f>
        <v>-6.1705520810164671E-3</v>
      </c>
      <c r="AN12" s="48">
        <f>'IS (Bull-Case)'!AN12-'IS (Base-Case)'!AN12</f>
        <v>-1.7360256369556737E-2</v>
      </c>
      <c r="AO12" s="48">
        <f>'IS (Bull-Case)'!AO12-'IS (Base-Case)'!AO12</f>
        <v>-1.0255003104703064E-2</v>
      </c>
      <c r="AP12" s="48">
        <f>'IS (Bull-Case)'!AP12-'IS (Base-Case)'!AP12</f>
        <v>3.4716274210495612E-3</v>
      </c>
      <c r="AQ12" s="49">
        <f>'IS (Bull-Case)'!AQ12-'IS (Base-Case)'!AQ12</f>
        <v>-3.0314184133658273E-2</v>
      </c>
      <c r="AR12" s="48">
        <f>'IS (Bull-Case)'!AR12-'IS (Base-Case)'!AR12</f>
        <v>-4.020589466756519E-2</v>
      </c>
      <c r="AS12" s="48">
        <f>'IS (Bull-Case)'!AS12-'IS (Base-Case)'!AS12</f>
        <v>-5.1696202893367627E-2</v>
      </c>
      <c r="AT12" s="48">
        <f>'IS (Bull-Case)'!AT12-'IS (Base-Case)'!AT12</f>
        <v>-4.3167193980252705E-2</v>
      </c>
      <c r="AU12" s="48">
        <f>'IS (Bull-Case)'!AU12-'IS (Base-Case)'!AU12</f>
        <v>-2.7698277801732729E-2</v>
      </c>
      <c r="AV12" s="49">
        <f>'IS (Bull-Case)'!AV12-'IS (Base-Case)'!AV12</f>
        <v>-0.16276756934303194</v>
      </c>
    </row>
    <row r="13" spans="1:48" ht="17.25" customHeight="1" outlineLevel="1" x14ac:dyDescent="0.3">
      <c r="B13" s="38" t="s">
        <v>83</v>
      </c>
      <c r="C13" s="18"/>
      <c r="D13" s="105">
        <f>'IS (Bull-Case)'!D13-'IS (Base-Case)'!D13</f>
        <v>0</v>
      </c>
      <c r="E13" s="105">
        <f>'IS (Bull-Case)'!E13-'IS (Base-Case)'!E13</f>
        <v>0</v>
      </c>
      <c r="F13" s="105">
        <f>'IS (Bull-Case)'!F13-'IS (Base-Case)'!F13</f>
        <v>0</v>
      </c>
      <c r="G13" s="105">
        <f>'IS (Bull-Case)'!G13-'IS (Base-Case)'!G13</f>
        <v>0</v>
      </c>
      <c r="H13" s="170">
        <f>'IS (Bull-Case)'!H13-'IS (Base-Case)'!H13</f>
        <v>0</v>
      </c>
      <c r="I13" s="105">
        <f>'IS (Bull-Case)'!I13-'IS (Base-Case)'!I13</f>
        <v>0</v>
      </c>
      <c r="J13" s="105">
        <f>'IS (Bull-Case)'!J13-'IS (Base-Case)'!J13</f>
        <v>0</v>
      </c>
      <c r="K13" s="105">
        <f>'IS (Bull-Case)'!K13-'IS (Base-Case)'!K13</f>
        <v>0</v>
      </c>
      <c r="L13" s="48">
        <f>'IS (Bull-Case)'!L13-'IS (Base-Case)'!L13</f>
        <v>0</v>
      </c>
      <c r="M13" s="170">
        <f>'IS (Bull-Case)'!M13-'IS (Base-Case)'!M13</f>
        <v>0</v>
      </c>
      <c r="N13" s="48">
        <f>'IS (Bull-Case)'!N13-'IS (Base-Case)'!N13</f>
        <v>0</v>
      </c>
      <c r="O13" s="105">
        <f>'IS (Bull-Case)'!O13-'IS (Base-Case)'!O13</f>
        <v>0</v>
      </c>
      <c r="P13" s="105">
        <f>'IS (Bull-Case)'!P13-'IS (Base-Case)'!P13</f>
        <v>0</v>
      </c>
      <c r="Q13" s="105">
        <f>'IS (Bull-Case)'!Q13-'IS (Base-Case)'!Q13</f>
        <v>0</v>
      </c>
      <c r="R13" s="170">
        <f>'IS (Bull-Case)'!R13-'IS (Base-Case)'!R13</f>
        <v>0</v>
      </c>
      <c r="S13" s="48">
        <f>'IS (Bull-Case)'!S13-'IS (Base-Case)'!S13</f>
        <v>0</v>
      </c>
      <c r="T13" s="48">
        <f>'IS (Bull-Case)'!T13-'IS (Base-Case)'!T13</f>
        <v>0</v>
      </c>
      <c r="U13" s="48">
        <f>'IS (Bull-Case)'!U13-'IS (Base-Case)'!U13</f>
        <v>0</v>
      </c>
      <c r="V13" s="48">
        <f>'IS (Bull-Case)'!V13-'IS (Base-Case)'!V13</f>
        <v>0</v>
      </c>
      <c r="W13" s="170">
        <f>'IS (Bull-Case)'!W13-'IS (Base-Case)'!W13</f>
        <v>0</v>
      </c>
      <c r="X13" s="48">
        <f>'IS (Bull-Case)'!X13-'IS (Base-Case)'!X13</f>
        <v>1.6245613584538887</v>
      </c>
      <c r="Y13" s="48">
        <f>'IS (Bull-Case)'!Y13-'IS (Base-Case)'!Y13</f>
        <v>1.3117265167279584</v>
      </c>
      <c r="Z13" s="48">
        <f>'IS (Bull-Case)'!Z13-'IS (Base-Case)'!Z13</f>
        <v>1.4151381602214315</v>
      </c>
      <c r="AA13" s="48">
        <f>'IS (Bull-Case)'!AA13-'IS (Base-Case)'!AA13</f>
        <v>1.4745743014200343</v>
      </c>
      <c r="AB13" s="49">
        <f>'IS (Bull-Case)'!AB13-'IS (Base-Case)'!AB13</f>
        <v>5.8260003368231992</v>
      </c>
      <c r="AC13" s="48">
        <f>'IS (Bull-Case)'!AC13-'IS (Base-Case)'!AC13</f>
        <v>2.9806803993396898</v>
      </c>
      <c r="AD13" s="48">
        <f>'IS (Bull-Case)'!AD13-'IS (Base-Case)'!AD13</f>
        <v>3.2486756766384133</v>
      </c>
      <c r="AE13" s="48">
        <f>'IS (Bull-Case)'!AE13-'IS (Base-Case)'!AE13</f>
        <v>2.8729225745225904</v>
      </c>
      <c r="AF13" s="48">
        <f>'IS (Bull-Case)'!AF13-'IS (Base-Case)'!AF13</f>
        <v>3.0094912532783837</v>
      </c>
      <c r="AG13" s="49">
        <f>'IS (Bull-Case)'!AG13-'IS (Base-Case)'!AG13</f>
        <v>12.111769903779077</v>
      </c>
      <c r="AH13" s="48">
        <f>'IS (Bull-Case)'!AH13-'IS (Base-Case)'!AH13</f>
        <v>4.6272525880251578</v>
      </c>
      <c r="AI13" s="48">
        <f>'IS (Bull-Case)'!AI13-'IS (Base-Case)'!AI13</f>
        <v>5.0936184657726926</v>
      </c>
      <c r="AJ13" s="48">
        <f>'IS (Bull-Case)'!AJ13-'IS (Base-Case)'!AJ13</f>
        <v>4.4268026780499667</v>
      </c>
      <c r="AK13" s="48">
        <f>'IS (Bull-Case)'!AK13-'IS (Base-Case)'!AK13</f>
        <v>4.6645426005214858</v>
      </c>
      <c r="AL13" s="49">
        <f>'IS (Bull-Case)'!AL13-'IS (Base-Case)'!AL13</f>
        <v>18.812216332369189</v>
      </c>
      <c r="AM13" s="48">
        <f>'IS (Bull-Case)'!AM13-'IS (Base-Case)'!AM13</f>
        <v>5.0228540143533564</v>
      </c>
      <c r="AN13" s="48">
        <f>'IS (Bull-Case)'!AN13-'IS (Base-Case)'!AN13</f>
        <v>5.5277086416351722</v>
      </c>
      <c r="AO13" s="48">
        <f>'IS (Bull-Case)'!AO13-'IS (Base-Case)'!AO13</f>
        <v>4.8027981170602061</v>
      </c>
      <c r="AP13" s="48">
        <f>'IS (Bull-Case)'!AP13-'IS (Base-Case)'!AP13</f>
        <v>5.0597649412052306</v>
      </c>
      <c r="AQ13" s="49">
        <f>'IS (Bull-Case)'!AQ13-'IS (Base-Case)'!AQ13</f>
        <v>20.413125714253965</v>
      </c>
      <c r="AR13" s="48">
        <f>'IS (Bull-Case)'!AR13-'IS (Base-Case)'!AR13</f>
        <v>5.3429295318901495</v>
      </c>
      <c r="AS13" s="48">
        <f>'IS (Bull-Case)'!AS13-'IS (Base-Case)'!AS13</f>
        <v>5.8780244519163034</v>
      </c>
      <c r="AT13" s="48">
        <f>'IS (Bull-Case)'!AT13-'IS (Base-Case)'!AT13</f>
        <v>5.1063257948908358</v>
      </c>
      <c r="AU13" s="48">
        <f>'IS (Bull-Case)'!AU13-'IS (Base-Case)'!AU13</f>
        <v>5.378549011530481</v>
      </c>
      <c r="AV13" s="49">
        <f>'IS (Bull-Case)'!AV13-'IS (Base-Case)'!AV13</f>
        <v>21.70582879022777</v>
      </c>
    </row>
    <row r="14" spans="1:48" ht="17.25" customHeight="1" outlineLevel="1" x14ac:dyDescent="0.45">
      <c r="B14" s="38" t="s">
        <v>42</v>
      </c>
      <c r="C14" s="18"/>
      <c r="D14" s="104">
        <f>'IS (Bull-Case)'!D14-'IS (Base-Case)'!D14</f>
        <v>0</v>
      </c>
      <c r="E14" s="104">
        <f>'IS (Bull-Case)'!E14-'IS (Base-Case)'!E14</f>
        <v>0</v>
      </c>
      <c r="F14" s="104">
        <f>'IS (Bull-Case)'!F14-'IS (Base-Case)'!F14</f>
        <v>0</v>
      </c>
      <c r="G14" s="104">
        <f>'IS (Bull-Case)'!G14-'IS (Base-Case)'!G14</f>
        <v>0</v>
      </c>
      <c r="H14" s="173">
        <f>'IS (Bull-Case)'!H14-'IS (Base-Case)'!H14</f>
        <v>0</v>
      </c>
      <c r="I14" s="104">
        <f>'IS (Bull-Case)'!I14-'IS (Base-Case)'!I14</f>
        <v>0</v>
      </c>
      <c r="J14" s="104">
        <f>'IS (Bull-Case)'!J14-'IS (Base-Case)'!J14</f>
        <v>0</v>
      </c>
      <c r="K14" s="104">
        <f>'IS (Bull-Case)'!K14-'IS (Base-Case)'!K14</f>
        <v>0</v>
      </c>
      <c r="L14" s="104">
        <f>'IS (Bull-Case)'!L14-'IS (Base-Case)'!L14</f>
        <v>0</v>
      </c>
      <c r="M14" s="53">
        <f>'IS (Bull-Case)'!M14-'IS (Base-Case)'!M14</f>
        <v>0</v>
      </c>
      <c r="N14" s="52">
        <f>'IS (Bull-Case)'!N14-'IS (Base-Case)'!N14</f>
        <v>0</v>
      </c>
      <c r="O14" s="104">
        <f>'IS (Bull-Case)'!O14-'IS (Base-Case)'!O14</f>
        <v>0</v>
      </c>
      <c r="P14" s="104">
        <f>'IS (Bull-Case)'!P14-'IS (Base-Case)'!P14</f>
        <v>0</v>
      </c>
      <c r="Q14" s="104">
        <f>'IS (Bull-Case)'!Q14-'IS (Base-Case)'!Q14</f>
        <v>0</v>
      </c>
      <c r="R14" s="173">
        <f>'IS (Bull-Case)'!R14-'IS (Base-Case)'!R14</f>
        <v>0</v>
      </c>
      <c r="S14" s="52">
        <f>'IS (Bull-Case)'!S14-'IS (Base-Case)'!S14</f>
        <v>0</v>
      </c>
      <c r="T14" s="52">
        <f>'IS (Bull-Case)'!T14-'IS (Base-Case)'!T14</f>
        <v>0</v>
      </c>
      <c r="U14" s="52">
        <f>'IS (Bull-Case)'!U14-'IS (Base-Case)'!U14</f>
        <v>0</v>
      </c>
      <c r="V14" s="52">
        <f>'IS (Bull-Case)'!V14-'IS (Base-Case)'!V14</f>
        <v>0</v>
      </c>
      <c r="W14" s="173">
        <f>'IS (Bull-Case)'!W14-'IS (Base-Case)'!W14</f>
        <v>0</v>
      </c>
      <c r="X14" s="52">
        <f>'IS (Bull-Case)'!X14-'IS (Base-Case)'!X14</f>
        <v>0</v>
      </c>
      <c r="Y14" s="52">
        <f>'IS (Bull-Case)'!Y14-'IS (Base-Case)'!Y14</f>
        <v>0</v>
      </c>
      <c r="Z14" s="52">
        <f>'IS (Bull-Case)'!Z14-'IS (Base-Case)'!Z14</f>
        <v>0</v>
      </c>
      <c r="AA14" s="52">
        <f>'IS (Bull-Case)'!AA14-'IS (Base-Case)'!AA14</f>
        <v>0</v>
      </c>
      <c r="AB14" s="53">
        <f>'IS (Bull-Case)'!AB14-'IS (Base-Case)'!AB14</f>
        <v>0</v>
      </c>
      <c r="AC14" s="52">
        <f>'IS (Bull-Case)'!AC14-'IS (Base-Case)'!AC14</f>
        <v>0</v>
      </c>
      <c r="AD14" s="52">
        <f>'IS (Bull-Case)'!AD14-'IS (Base-Case)'!AD14</f>
        <v>0</v>
      </c>
      <c r="AE14" s="52">
        <f>'IS (Bull-Case)'!AE14-'IS (Base-Case)'!AE14</f>
        <v>0</v>
      </c>
      <c r="AF14" s="52">
        <f>'IS (Bull-Case)'!AF14-'IS (Base-Case)'!AF14</f>
        <v>0</v>
      </c>
      <c r="AG14" s="53">
        <f>'IS (Bull-Case)'!AG14-'IS (Base-Case)'!AG14</f>
        <v>0</v>
      </c>
      <c r="AH14" s="52">
        <f>'IS (Bull-Case)'!AH14-'IS (Base-Case)'!AH14</f>
        <v>0</v>
      </c>
      <c r="AI14" s="52">
        <f>'IS (Bull-Case)'!AI14-'IS (Base-Case)'!AI14</f>
        <v>0</v>
      </c>
      <c r="AJ14" s="52">
        <f>'IS (Bull-Case)'!AJ14-'IS (Base-Case)'!AJ14</f>
        <v>0</v>
      </c>
      <c r="AK14" s="52">
        <f>'IS (Bull-Case)'!AK14-'IS (Base-Case)'!AK14</f>
        <v>0</v>
      </c>
      <c r="AL14" s="53">
        <f>'IS (Bull-Case)'!AL14-'IS (Base-Case)'!AL14</f>
        <v>0</v>
      </c>
      <c r="AM14" s="52">
        <f>'IS (Bull-Case)'!AM14-'IS (Base-Case)'!AM14</f>
        <v>0</v>
      </c>
      <c r="AN14" s="52">
        <f>'IS (Bull-Case)'!AN14-'IS (Base-Case)'!AN14</f>
        <v>0</v>
      </c>
      <c r="AO14" s="52">
        <f>'IS (Bull-Case)'!AO14-'IS (Base-Case)'!AO14</f>
        <v>0</v>
      </c>
      <c r="AP14" s="52">
        <f>'IS (Bull-Case)'!AP14-'IS (Base-Case)'!AP14</f>
        <v>0</v>
      </c>
      <c r="AQ14" s="53">
        <f>'IS (Bull-Case)'!AQ14-'IS (Base-Case)'!AQ14</f>
        <v>0</v>
      </c>
      <c r="AR14" s="52">
        <f>'IS (Bull-Case)'!AR14-'IS (Base-Case)'!AR14</f>
        <v>0</v>
      </c>
      <c r="AS14" s="52">
        <f>'IS (Bull-Case)'!AS14-'IS (Base-Case)'!AS14</f>
        <v>0</v>
      </c>
      <c r="AT14" s="52">
        <f>'IS (Bull-Case)'!AT14-'IS (Base-Case)'!AT14</f>
        <v>0</v>
      </c>
      <c r="AU14" s="52">
        <f>'IS (Bull-Case)'!AU14-'IS (Base-Case)'!AU14</f>
        <v>0</v>
      </c>
      <c r="AV14" s="53">
        <f>'IS (Bull-Case)'!AV14-'IS (Base-Case)'!AV14</f>
        <v>0</v>
      </c>
    </row>
    <row r="15" spans="1:48" s="20" customFormat="1" ht="17.25" customHeight="1" x14ac:dyDescent="0.45">
      <c r="B15" s="46" t="s">
        <v>8</v>
      </c>
      <c r="C15" s="19"/>
      <c r="D15" s="106">
        <f>'IS (Bull-Case)'!D15-'IS (Base-Case)'!D15</f>
        <v>0</v>
      </c>
      <c r="E15" s="106">
        <f>'IS (Bull-Case)'!E15-'IS (Base-Case)'!E15</f>
        <v>0</v>
      </c>
      <c r="F15" s="106">
        <f>'IS (Bull-Case)'!F15-'IS (Base-Case)'!F15</f>
        <v>0</v>
      </c>
      <c r="G15" s="106">
        <f>'IS (Bull-Case)'!G15-'IS (Base-Case)'!G15</f>
        <v>0</v>
      </c>
      <c r="H15" s="175">
        <f>'IS (Bull-Case)'!H15-'IS (Base-Case)'!H15</f>
        <v>0</v>
      </c>
      <c r="I15" s="106">
        <f>'IS (Bull-Case)'!I15-'IS (Base-Case)'!I15</f>
        <v>0</v>
      </c>
      <c r="J15" s="106">
        <f>'IS (Bull-Case)'!J15-'IS (Base-Case)'!J15</f>
        <v>0</v>
      </c>
      <c r="K15" s="106">
        <f>'IS (Bull-Case)'!K15-'IS (Base-Case)'!K15</f>
        <v>0</v>
      </c>
      <c r="L15" s="54">
        <f>'IS (Bull-Case)'!L15-'IS (Base-Case)'!L15</f>
        <v>0</v>
      </c>
      <c r="M15" s="55">
        <f>'IS (Bull-Case)'!M15-'IS (Base-Case)'!M15</f>
        <v>0</v>
      </c>
      <c r="N15" s="54">
        <f>'IS (Bull-Case)'!N15-'IS (Base-Case)'!N15</f>
        <v>0</v>
      </c>
      <c r="O15" s="106">
        <f>'IS (Bull-Case)'!O15-'IS (Base-Case)'!O15</f>
        <v>0</v>
      </c>
      <c r="P15" s="106">
        <f>'IS (Bull-Case)'!P15-'IS (Base-Case)'!P15</f>
        <v>0</v>
      </c>
      <c r="Q15" s="106">
        <f>'IS (Bull-Case)'!Q15-'IS (Base-Case)'!Q15</f>
        <v>0</v>
      </c>
      <c r="R15" s="175">
        <f>'IS (Bull-Case)'!R15-'IS (Base-Case)'!R15</f>
        <v>0</v>
      </c>
      <c r="S15" s="54">
        <f>'IS (Bull-Case)'!S15-'IS (Base-Case)'!S15</f>
        <v>0</v>
      </c>
      <c r="T15" s="54">
        <f>'IS (Bull-Case)'!T15-'IS (Base-Case)'!T15</f>
        <v>0</v>
      </c>
      <c r="U15" s="54">
        <f>'IS (Bull-Case)'!U15-'IS (Base-Case)'!U15</f>
        <v>0</v>
      </c>
      <c r="V15" s="54">
        <f>'IS (Bull-Case)'!V15-'IS (Base-Case)'!V15</f>
        <v>0</v>
      </c>
      <c r="W15" s="175">
        <f>'IS (Bull-Case)'!W15-'IS (Base-Case)'!W15</f>
        <v>0</v>
      </c>
      <c r="X15" s="54">
        <f>'IS (Bull-Case)'!X15-'IS (Base-Case)'!X15</f>
        <v>70.085398845776581</v>
      </c>
      <c r="Y15" s="54">
        <f>'IS (Bull-Case)'!Y15-'IS (Base-Case)'!Y15</f>
        <v>67.216757978888381</v>
      </c>
      <c r="Z15" s="54">
        <f>'IS (Bull-Case)'!Z15-'IS (Base-Case)'!Z15</f>
        <v>71.047845051252807</v>
      </c>
      <c r="AA15" s="54">
        <f>'IS (Bull-Case)'!AA15-'IS (Base-Case)'!AA15</f>
        <v>69.60436413917887</v>
      </c>
      <c r="AB15" s="55">
        <f>'IS (Bull-Case)'!AB15-'IS (Base-Case)'!AB15</f>
        <v>277.95436601509573</v>
      </c>
      <c r="AC15" s="54">
        <f>'IS (Bull-Case)'!AC15-'IS (Base-Case)'!AC15</f>
        <v>135.79134784232883</v>
      </c>
      <c r="AD15" s="54">
        <f>'IS (Bull-Case)'!AD15-'IS (Base-Case)'!AD15</f>
        <v>134.60202607438259</v>
      </c>
      <c r="AE15" s="54">
        <f>'IS (Bull-Case)'!AE15-'IS (Base-Case)'!AE15</f>
        <v>139.84092604952457</v>
      </c>
      <c r="AF15" s="54">
        <f>'IS (Bull-Case)'!AF15-'IS (Base-Case)'!AF15</f>
        <v>141.31805798952519</v>
      </c>
      <c r="AG15" s="55">
        <f>'IS (Bull-Case)'!AG15-'IS (Base-Case)'!AG15</f>
        <v>551.552357955763</v>
      </c>
      <c r="AH15" s="54">
        <f>'IS (Bull-Case)'!AH15-'IS (Base-Case)'!AH15</f>
        <v>216.57676240872752</v>
      </c>
      <c r="AI15" s="54">
        <f>'IS (Bull-Case)'!AI15-'IS (Base-Case)'!AI15</f>
        <v>215.27477167286816</v>
      </c>
      <c r="AJ15" s="54">
        <f>'IS (Bull-Case)'!AJ15-'IS (Base-Case)'!AJ15</f>
        <v>222.61573875811882</v>
      </c>
      <c r="AK15" s="54">
        <f>'IS (Bull-Case)'!AK15-'IS (Base-Case)'!AK15</f>
        <v>225.44472466737534</v>
      </c>
      <c r="AL15" s="55">
        <f>'IS (Bull-Case)'!AL15-'IS (Base-Case)'!AL15</f>
        <v>879.91199750709347</v>
      </c>
      <c r="AM15" s="54">
        <f>'IS (Bull-Case)'!AM15-'IS (Base-Case)'!AM15</f>
        <v>234.91255507916867</v>
      </c>
      <c r="AN15" s="54">
        <f>'IS (Bull-Case)'!AN15-'IS (Base-Case)'!AN15</f>
        <v>233.55653424279626</v>
      </c>
      <c r="AO15" s="54">
        <f>'IS (Bull-Case)'!AO15-'IS (Base-Case)'!AO15</f>
        <v>241.58252981345322</v>
      </c>
      <c r="AP15" s="54">
        <f>'IS (Bull-Case)'!AP15-'IS (Base-Case)'!AP15</f>
        <v>244.72564820389016</v>
      </c>
      <c r="AQ15" s="55">
        <f>'IS (Bull-Case)'!AQ15-'IS (Base-Case)'!AQ15</f>
        <v>954.77726733931922</v>
      </c>
      <c r="AR15" s="54">
        <f>'IS (Bull-Case)'!AR15-'IS (Base-Case)'!AR15</f>
        <v>250.14324582189147</v>
      </c>
      <c r="AS15" s="54">
        <f>'IS (Bull-Case)'!AS15-'IS (Base-Case)'!AS15</f>
        <v>248.62328502383571</v>
      </c>
      <c r="AT15" s="54">
        <f>'IS (Bull-Case)'!AT15-'IS (Base-Case)'!AT15</f>
        <v>257.1014828244297</v>
      </c>
      <c r="AU15" s="54">
        <f>'IS (Bull-Case)'!AU15-'IS (Base-Case)'!AU15</f>
        <v>260.3883356848055</v>
      </c>
      <c r="AV15" s="55">
        <f>'IS (Bull-Case)'!AV15-'IS (Base-Case)'!AV15</f>
        <v>1016.2563493549605</v>
      </c>
    </row>
    <row r="16" spans="1:48" s="23" customFormat="1" ht="17.25" customHeight="1" x14ac:dyDescent="0.45">
      <c r="B16" s="461" t="s">
        <v>36</v>
      </c>
      <c r="C16" s="462"/>
      <c r="D16" s="104">
        <f>'IS (Bull-Case)'!D16-'IS (Base-Case)'!D16</f>
        <v>0</v>
      </c>
      <c r="E16" s="104">
        <f>'IS (Bull-Case)'!E16-'IS (Base-Case)'!E16</f>
        <v>0</v>
      </c>
      <c r="F16" s="104">
        <f>'IS (Bull-Case)'!F16-'IS (Base-Case)'!F16</f>
        <v>0</v>
      </c>
      <c r="G16" s="104">
        <f>'IS (Bull-Case)'!G16-'IS (Base-Case)'!G16</f>
        <v>0</v>
      </c>
      <c r="H16" s="173">
        <f>'IS (Bull-Case)'!H16-'IS (Base-Case)'!H16</f>
        <v>0</v>
      </c>
      <c r="I16" s="104">
        <f>'IS (Bull-Case)'!I16-'IS (Base-Case)'!I16</f>
        <v>0</v>
      </c>
      <c r="J16" s="104">
        <f>'IS (Bull-Case)'!J16-'IS (Base-Case)'!J16</f>
        <v>0</v>
      </c>
      <c r="K16" s="104">
        <f>'IS (Bull-Case)'!K16-'IS (Base-Case)'!K16</f>
        <v>0</v>
      </c>
      <c r="L16" s="52">
        <f>'IS (Bull-Case)'!L16-'IS (Base-Case)'!L16</f>
        <v>0</v>
      </c>
      <c r="M16" s="53">
        <f>'IS (Bull-Case)'!M16-'IS (Base-Case)'!M16</f>
        <v>0</v>
      </c>
      <c r="N16" s="52">
        <f>'IS (Bull-Case)'!N16-'IS (Base-Case)'!N16</f>
        <v>0</v>
      </c>
      <c r="O16" s="104">
        <f>'IS (Bull-Case)'!O16-'IS (Base-Case)'!O16</f>
        <v>0</v>
      </c>
      <c r="P16" s="104">
        <f>'IS (Bull-Case)'!P16-'IS (Base-Case)'!P16</f>
        <v>0</v>
      </c>
      <c r="Q16" s="104">
        <f>'IS (Bull-Case)'!Q16-'IS (Base-Case)'!Q16</f>
        <v>0</v>
      </c>
      <c r="R16" s="173">
        <f>'IS (Bull-Case)'!R16-'IS (Base-Case)'!R16</f>
        <v>0</v>
      </c>
      <c r="S16" s="52">
        <f>'IS (Bull-Case)'!S16-'IS (Base-Case)'!S16</f>
        <v>0</v>
      </c>
      <c r="T16" s="52">
        <f>'IS (Bull-Case)'!T16-'IS (Base-Case)'!T16</f>
        <v>0</v>
      </c>
      <c r="U16" s="52">
        <f>'IS (Bull-Case)'!U16-'IS (Base-Case)'!U16</f>
        <v>0</v>
      </c>
      <c r="V16" s="52">
        <f>'IS (Bull-Case)'!V16-'IS (Base-Case)'!V16</f>
        <v>0</v>
      </c>
      <c r="W16" s="173">
        <f>'IS (Bull-Case)'!W16-'IS (Base-Case)'!W16</f>
        <v>0</v>
      </c>
      <c r="X16" s="52">
        <f>'IS (Bull-Case)'!X16-'IS (Base-Case)'!X16</f>
        <v>0</v>
      </c>
      <c r="Y16" s="52">
        <f>'IS (Bull-Case)'!Y16-'IS (Base-Case)'!Y16</f>
        <v>0</v>
      </c>
      <c r="Z16" s="52">
        <f>'IS (Bull-Case)'!Z16-'IS (Base-Case)'!Z16</f>
        <v>0</v>
      </c>
      <c r="AA16" s="52">
        <f>'IS (Bull-Case)'!AA16-'IS (Base-Case)'!AA16</f>
        <v>0</v>
      </c>
      <c r="AB16" s="53">
        <f>'IS (Bull-Case)'!AB16-'IS (Base-Case)'!AB16</f>
        <v>0</v>
      </c>
      <c r="AC16" s="52">
        <f>'IS (Bull-Case)'!AC16-'IS (Base-Case)'!AC16</f>
        <v>0</v>
      </c>
      <c r="AD16" s="52">
        <f>'IS (Bull-Case)'!AD16-'IS (Base-Case)'!AD16</f>
        <v>0</v>
      </c>
      <c r="AE16" s="52">
        <f>'IS (Bull-Case)'!AE16-'IS (Base-Case)'!AE16</f>
        <v>0</v>
      </c>
      <c r="AF16" s="52">
        <f>'IS (Bull-Case)'!AF16-'IS (Base-Case)'!AF16</f>
        <v>0</v>
      </c>
      <c r="AG16" s="53">
        <f>'IS (Bull-Case)'!AG16-'IS (Base-Case)'!AG16</f>
        <v>0</v>
      </c>
      <c r="AH16" s="52">
        <f>'IS (Bull-Case)'!AH16-'IS (Base-Case)'!AH16</f>
        <v>0</v>
      </c>
      <c r="AI16" s="52">
        <f>'IS (Bull-Case)'!AI16-'IS (Base-Case)'!AI16</f>
        <v>0</v>
      </c>
      <c r="AJ16" s="52">
        <f>'IS (Bull-Case)'!AJ16-'IS (Base-Case)'!AJ16</f>
        <v>0</v>
      </c>
      <c r="AK16" s="52">
        <f>'IS (Bull-Case)'!AK16-'IS (Base-Case)'!AK16</f>
        <v>0</v>
      </c>
      <c r="AL16" s="53">
        <f>'IS (Bull-Case)'!AL16-'IS (Base-Case)'!AL16</f>
        <v>0</v>
      </c>
      <c r="AM16" s="52">
        <f>'IS (Bull-Case)'!AM16-'IS (Base-Case)'!AM16</f>
        <v>0</v>
      </c>
      <c r="AN16" s="52">
        <f>'IS (Bull-Case)'!AN16-'IS (Base-Case)'!AN16</f>
        <v>0</v>
      </c>
      <c r="AO16" s="52">
        <f>'IS (Bull-Case)'!AO16-'IS (Base-Case)'!AO16</f>
        <v>0</v>
      </c>
      <c r="AP16" s="52">
        <f>'IS (Bull-Case)'!AP16-'IS (Base-Case)'!AP16</f>
        <v>0</v>
      </c>
      <c r="AQ16" s="53">
        <f>'IS (Bull-Case)'!AQ16-'IS (Base-Case)'!AQ16</f>
        <v>0</v>
      </c>
      <c r="AR16" s="52">
        <f>'IS (Bull-Case)'!AR16-'IS (Base-Case)'!AR16</f>
        <v>0</v>
      </c>
      <c r="AS16" s="52">
        <f>'IS (Bull-Case)'!AS16-'IS (Base-Case)'!AS16</f>
        <v>0</v>
      </c>
      <c r="AT16" s="52">
        <f>'IS (Bull-Case)'!AT16-'IS (Base-Case)'!AT16</f>
        <v>0</v>
      </c>
      <c r="AU16" s="52">
        <f>'IS (Bull-Case)'!AU16-'IS (Base-Case)'!AU16</f>
        <v>0</v>
      </c>
      <c r="AV16" s="53">
        <f>'IS (Bull-Case)'!AV16-'IS (Base-Case)'!AV16</f>
        <v>0</v>
      </c>
    </row>
    <row r="17" spans="1:48" x14ac:dyDescent="0.3">
      <c r="B17" s="135" t="s">
        <v>10</v>
      </c>
      <c r="C17" s="136"/>
      <c r="D17" s="103">
        <f>'IS (Bull-Case)'!D17-'IS (Base-Case)'!D17</f>
        <v>0</v>
      </c>
      <c r="E17" s="103">
        <f>'IS (Bull-Case)'!E17-'IS (Base-Case)'!E17</f>
        <v>0</v>
      </c>
      <c r="F17" s="103">
        <f>'IS (Bull-Case)'!F17-'IS (Base-Case)'!F17</f>
        <v>0</v>
      </c>
      <c r="G17" s="103">
        <f>'IS (Bull-Case)'!G17-'IS (Base-Case)'!G17</f>
        <v>0</v>
      </c>
      <c r="H17" s="171">
        <f>'IS (Bull-Case)'!H17-'IS (Base-Case)'!H17</f>
        <v>0</v>
      </c>
      <c r="I17" s="103">
        <f>'IS (Bull-Case)'!I17-'IS (Base-Case)'!I17</f>
        <v>0</v>
      </c>
      <c r="J17" s="103">
        <f>'IS (Bull-Case)'!J17-'IS (Base-Case)'!J17</f>
        <v>0</v>
      </c>
      <c r="K17" s="103">
        <f>'IS (Bull-Case)'!K17-'IS (Base-Case)'!K17</f>
        <v>0</v>
      </c>
      <c r="L17" s="50">
        <f>'IS (Bull-Case)'!L17-'IS (Base-Case)'!L17</f>
        <v>0</v>
      </c>
      <c r="M17" s="51">
        <f>'IS (Bull-Case)'!M17-'IS (Base-Case)'!M17</f>
        <v>0</v>
      </c>
      <c r="N17" s="50">
        <f>'IS (Bull-Case)'!N17-'IS (Base-Case)'!N17</f>
        <v>0</v>
      </c>
      <c r="O17" s="103">
        <f>'IS (Bull-Case)'!O17-'IS (Base-Case)'!O17</f>
        <v>0</v>
      </c>
      <c r="P17" s="103">
        <f>'IS (Bull-Case)'!P17-'IS (Base-Case)'!P17</f>
        <v>0</v>
      </c>
      <c r="Q17" s="103">
        <f>'IS (Bull-Case)'!Q17-'IS (Base-Case)'!Q17</f>
        <v>0</v>
      </c>
      <c r="R17" s="171">
        <f>'IS (Bull-Case)'!R17-'IS (Base-Case)'!R17</f>
        <v>0</v>
      </c>
      <c r="S17" s="50">
        <f>'IS (Bull-Case)'!S17-'IS (Base-Case)'!S17</f>
        <v>0</v>
      </c>
      <c r="T17" s="50">
        <f>'IS (Bull-Case)'!T17-'IS (Base-Case)'!T17</f>
        <v>0</v>
      </c>
      <c r="U17" s="50">
        <f>'IS (Bull-Case)'!U17-'IS (Base-Case)'!U17</f>
        <v>0</v>
      </c>
      <c r="V17" s="50">
        <f>'IS (Bull-Case)'!V17-'IS (Base-Case)'!V17</f>
        <v>0</v>
      </c>
      <c r="W17" s="171">
        <f>'IS (Bull-Case)'!W17-'IS (Base-Case)'!W17</f>
        <v>0</v>
      </c>
      <c r="X17" s="50">
        <f>'IS (Bull-Case)'!X17-'IS (Base-Case)'!X17</f>
        <v>18.30052082189286</v>
      </c>
      <c r="Y17" s="50">
        <f>'IS (Bull-Case)'!Y17-'IS (Base-Case)'!Y17</f>
        <v>16.906567518842166</v>
      </c>
      <c r="Z17" s="50">
        <f>'IS (Bull-Case)'!Z17-'IS (Base-Case)'!Z17</f>
        <v>22.502042885860646</v>
      </c>
      <c r="AA17" s="50">
        <f>'IS (Bull-Case)'!AA17-'IS (Base-Case)'!AA17</f>
        <v>21.961206521424174</v>
      </c>
      <c r="AB17" s="51">
        <f>'IS (Bull-Case)'!AB17-'IS (Base-Case)'!AB17</f>
        <v>79.670337748022575</v>
      </c>
      <c r="AC17" s="50">
        <f>'IS (Bull-Case)'!AC17-'IS (Base-Case)'!AC17</f>
        <v>58.007004933446296</v>
      </c>
      <c r="AD17" s="50">
        <f>'IS (Bull-Case)'!AD17-'IS (Base-Case)'!AD17</f>
        <v>50.056322700140299</v>
      </c>
      <c r="AE17" s="50">
        <f>'IS (Bull-Case)'!AE17-'IS (Base-Case)'!AE17</f>
        <v>63.521641956684107</v>
      </c>
      <c r="AF17" s="50">
        <f>'IS (Bull-Case)'!AF17-'IS (Base-Case)'!AF17</f>
        <v>57.932877941442712</v>
      </c>
      <c r="AG17" s="51">
        <f>'IS (Bull-Case)'!AG17-'IS (Base-Case)'!AG17</f>
        <v>229.51784753170796</v>
      </c>
      <c r="AH17" s="50">
        <f>'IS (Bull-Case)'!AH17-'IS (Base-Case)'!AH17</f>
        <v>105.20001696460531</v>
      </c>
      <c r="AI17" s="50">
        <f>'IS (Bull-Case)'!AI17-'IS (Base-Case)'!AI17</f>
        <v>91.701029874815504</v>
      </c>
      <c r="AJ17" s="50">
        <f>'IS (Bull-Case)'!AJ17-'IS (Base-Case)'!AJ17</f>
        <v>114.61060508411879</v>
      </c>
      <c r="AK17" s="50">
        <f>'IS (Bull-Case)'!AK17-'IS (Base-Case)'!AK17</f>
        <v>105.27947464987847</v>
      </c>
      <c r="AL17" s="51">
        <f>'IS (Bull-Case)'!AL17-'IS (Base-Case)'!AL17</f>
        <v>416.79112657342193</v>
      </c>
      <c r="AM17" s="50">
        <f>'IS (Bull-Case)'!AM17-'IS (Base-Case)'!AM17</f>
        <v>114.37414523705934</v>
      </c>
      <c r="AN17" s="50">
        <f>'IS (Bull-Case)'!AN17-'IS (Base-Case)'!AN17</f>
        <v>99.58046892899074</v>
      </c>
      <c r="AO17" s="50">
        <f>'IS (Bull-Case)'!AO17-'IS (Base-Case)'!AO17</f>
        <v>124.28651089608684</v>
      </c>
      <c r="AP17" s="50">
        <f>'IS (Bull-Case)'!AP17-'IS (Base-Case)'!AP17</f>
        <v>114.02050382536231</v>
      </c>
      <c r="AQ17" s="51">
        <f>'IS (Bull-Case)'!AQ17-'IS (Base-Case)'!AQ17</f>
        <v>452.26162888748422</v>
      </c>
      <c r="AR17" s="50">
        <f>'IS (Bull-Case)'!AR17-'IS (Base-Case)'!AR17</f>
        <v>121.40134235111691</v>
      </c>
      <c r="AS17" s="50">
        <f>'IS (Bull-Case)'!AS17-'IS (Base-Case)'!AS17</f>
        <v>105.62611150417251</v>
      </c>
      <c r="AT17" s="50">
        <f>'IS (Bull-Case)'!AT17-'IS (Base-Case)'!AT17</f>
        <v>131.88978322334697</v>
      </c>
      <c r="AU17" s="50">
        <f>'IS (Bull-Case)'!AU17-'IS (Base-Case)'!AU17</f>
        <v>120.96016247837179</v>
      </c>
      <c r="AV17" s="51">
        <f>'IS (Bull-Case)'!AV17-'IS (Base-Case)'!AV17</f>
        <v>479.87739955700818</v>
      </c>
    </row>
    <row r="18" spans="1:48" ht="16.2" x14ac:dyDescent="0.45">
      <c r="B18" s="123" t="s">
        <v>70</v>
      </c>
      <c r="C18" s="88"/>
      <c r="D18" s="107">
        <f>'IS (Bull-Case)'!D18-'IS (Base-Case)'!D18</f>
        <v>0</v>
      </c>
      <c r="E18" s="107">
        <f>'IS (Bull-Case)'!E18-'IS (Base-Case)'!E18</f>
        <v>0</v>
      </c>
      <c r="F18" s="107">
        <f>'IS (Bull-Case)'!F18-'IS (Base-Case)'!F18</f>
        <v>0</v>
      </c>
      <c r="G18" s="107">
        <f>'IS (Bull-Case)'!G18-'IS (Base-Case)'!G18</f>
        <v>0</v>
      </c>
      <c r="H18" s="176">
        <f>'IS (Bull-Case)'!H18-'IS (Base-Case)'!H18</f>
        <v>0</v>
      </c>
      <c r="I18" s="107">
        <f>'IS (Bull-Case)'!I18-'IS (Base-Case)'!I18</f>
        <v>0</v>
      </c>
      <c r="J18" s="107">
        <f>'IS (Bull-Case)'!J18-'IS (Base-Case)'!J18</f>
        <v>0</v>
      </c>
      <c r="K18" s="107">
        <f>'IS (Bull-Case)'!K18-'IS (Base-Case)'!K18</f>
        <v>0</v>
      </c>
      <c r="L18" s="89">
        <f>'IS (Bull-Case)'!L18-'IS (Base-Case)'!L18</f>
        <v>0</v>
      </c>
      <c r="M18" s="90">
        <f>'IS (Bull-Case)'!M18-'IS (Base-Case)'!M18</f>
        <v>0</v>
      </c>
      <c r="N18" s="107">
        <f>'IS (Bull-Case)'!N18-'IS (Base-Case)'!N18</f>
        <v>0</v>
      </c>
      <c r="O18" s="107">
        <f>'IS (Bull-Case)'!O18-'IS (Base-Case)'!O18</f>
        <v>0</v>
      </c>
      <c r="P18" s="107">
        <f>'IS (Bull-Case)'!P18-'IS (Base-Case)'!P18</f>
        <v>0</v>
      </c>
      <c r="Q18" s="107">
        <f>'IS (Bull-Case)'!Q18-'IS (Base-Case)'!Q18</f>
        <v>0</v>
      </c>
      <c r="R18" s="176">
        <f>'IS (Bull-Case)'!R18-'IS (Base-Case)'!R18</f>
        <v>0</v>
      </c>
      <c r="S18" s="89">
        <f>'IS (Bull-Case)'!S18-'IS (Base-Case)'!S18</f>
        <v>0</v>
      </c>
      <c r="T18" s="89">
        <f>'IS (Bull-Case)'!T18-'IS (Base-Case)'!T18</f>
        <v>0</v>
      </c>
      <c r="U18" s="89">
        <f>'IS (Bull-Case)'!U18-'IS (Base-Case)'!U18</f>
        <v>0</v>
      </c>
      <c r="V18" s="89">
        <f>'IS (Bull-Case)'!V18-'IS (Base-Case)'!V18</f>
        <v>0</v>
      </c>
      <c r="W18" s="176">
        <f>'IS (Bull-Case)'!W18-'IS (Base-Case)'!W18</f>
        <v>0</v>
      </c>
      <c r="X18" s="89">
        <f>'IS (Bull-Case)'!X18-'IS (Base-Case)'!X18</f>
        <v>0</v>
      </c>
      <c r="Y18" s="89">
        <f>'IS (Bull-Case)'!Y18-'IS (Base-Case)'!Y18</f>
        <v>0</v>
      </c>
      <c r="Z18" s="89">
        <f>'IS (Bull-Case)'!Z18-'IS (Base-Case)'!Z18</f>
        <v>0</v>
      </c>
      <c r="AA18" s="89">
        <f>'IS (Bull-Case)'!AA18-'IS (Base-Case)'!AA18</f>
        <v>0</v>
      </c>
      <c r="AB18" s="90">
        <f>'IS (Bull-Case)'!AB18-'IS (Base-Case)'!AB18</f>
        <v>0</v>
      </c>
      <c r="AC18" s="89">
        <f>'IS (Bull-Case)'!AC18-'IS (Base-Case)'!AC18</f>
        <v>0</v>
      </c>
      <c r="AD18" s="89">
        <f>'IS (Bull-Case)'!AD18-'IS (Base-Case)'!AD18</f>
        <v>0</v>
      </c>
      <c r="AE18" s="89">
        <f>'IS (Bull-Case)'!AE18-'IS (Base-Case)'!AE18</f>
        <v>0</v>
      </c>
      <c r="AF18" s="89">
        <f>'IS (Bull-Case)'!AF18-'IS (Base-Case)'!AF18</f>
        <v>0</v>
      </c>
      <c r="AG18" s="90">
        <f>'IS (Bull-Case)'!AG18-'IS (Base-Case)'!AG18</f>
        <v>0</v>
      </c>
      <c r="AH18" s="89">
        <f>'IS (Bull-Case)'!AH18-'IS (Base-Case)'!AH18</f>
        <v>0</v>
      </c>
      <c r="AI18" s="89">
        <f>'IS (Bull-Case)'!AI18-'IS (Base-Case)'!AI18</f>
        <v>0</v>
      </c>
      <c r="AJ18" s="89">
        <f>'IS (Bull-Case)'!AJ18-'IS (Base-Case)'!AJ18</f>
        <v>0</v>
      </c>
      <c r="AK18" s="89">
        <f>'IS (Bull-Case)'!AK18-'IS (Base-Case)'!AK18</f>
        <v>0</v>
      </c>
      <c r="AL18" s="90">
        <f>'IS (Bull-Case)'!AL18-'IS (Base-Case)'!AL18</f>
        <v>0</v>
      </c>
      <c r="AM18" s="89">
        <f>'IS (Bull-Case)'!AM18-'IS (Base-Case)'!AM18</f>
        <v>0</v>
      </c>
      <c r="AN18" s="89">
        <f>'IS (Bull-Case)'!AN18-'IS (Base-Case)'!AN18</f>
        <v>0</v>
      </c>
      <c r="AO18" s="89">
        <f>'IS (Bull-Case)'!AO18-'IS (Base-Case)'!AO18</f>
        <v>0</v>
      </c>
      <c r="AP18" s="89">
        <f>'IS (Bull-Case)'!AP18-'IS (Base-Case)'!AP18</f>
        <v>0</v>
      </c>
      <c r="AQ18" s="90">
        <f>'IS (Bull-Case)'!AQ18-'IS (Base-Case)'!AQ18</f>
        <v>0</v>
      </c>
      <c r="AR18" s="89">
        <f>'IS (Bull-Case)'!AR18-'IS (Base-Case)'!AR18</f>
        <v>0</v>
      </c>
      <c r="AS18" s="89">
        <f>'IS (Bull-Case)'!AS18-'IS (Base-Case)'!AS18</f>
        <v>0</v>
      </c>
      <c r="AT18" s="89">
        <f>'IS (Bull-Case)'!AT18-'IS (Base-Case)'!AT18</f>
        <v>0</v>
      </c>
      <c r="AU18" s="89">
        <f>'IS (Bull-Case)'!AU18-'IS (Base-Case)'!AU18</f>
        <v>0</v>
      </c>
      <c r="AV18" s="90">
        <f>'IS (Bull-Case)'!AV18-'IS (Base-Case)'!AV18</f>
        <v>0</v>
      </c>
    </row>
    <row r="19" spans="1:48" x14ac:dyDescent="0.3">
      <c r="B19" s="124" t="s">
        <v>71</v>
      </c>
      <c r="C19" s="79"/>
      <c r="D19" s="108">
        <f>'IS (Bull-Case)'!D19-'IS (Base-Case)'!D19</f>
        <v>0</v>
      </c>
      <c r="E19" s="108">
        <f>'IS (Bull-Case)'!E19-'IS (Base-Case)'!E19</f>
        <v>0</v>
      </c>
      <c r="F19" s="108">
        <f>'IS (Bull-Case)'!F19-'IS (Base-Case)'!F19</f>
        <v>0</v>
      </c>
      <c r="G19" s="108">
        <f>'IS (Bull-Case)'!G19-'IS (Base-Case)'!G19</f>
        <v>0</v>
      </c>
      <c r="H19" s="177">
        <f>'IS (Bull-Case)'!H19-'IS (Base-Case)'!H19</f>
        <v>0</v>
      </c>
      <c r="I19" s="108">
        <f>'IS (Bull-Case)'!I19-'IS (Base-Case)'!I19</f>
        <v>0</v>
      </c>
      <c r="J19" s="108">
        <f>'IS (Bull-Case)'!J19-'IS (Base-Case)'!J19</f>
        <v>0</v>
      </c>
      <c r="K19" s="108">
        <f>'IS (Bull-Case)'!K19-'IS (Base-Case)'!K19</f>
        <v>0</v>
      </c>
      <c r="L19" s="80">
        <f>'IS (Bull-Case)'!L19-'IS (Base-Case)'!L19</f>
        <v>0</v>
      </c>
      <c r="M19" s="81">
        <f>'IS (Bull-Case)'!M19-'IS (Base-Case)'!M19</f>
        <v>0</v>
      </c>
      <c r="N19" s="108">
        <f>'IS (Bull-Case)'!N19-'IS (Base-Case)'!N19</f>
        <v>0</v>
      </c>
      <c r="O19" s="108">
        <f>'IS (Bull-Case)'!O19-'IS (Base-Case)'!O19</f>
        <v>0</v>
      </c>
      <c r="P19" s="108">
        <f>'IS (Bull-Case)'!P19-'IS (Base-Case)'!P19</f>
        <v>0</v>
      </c>
      <c r="Q19" s="108">
        <f>'IS (Bull-Case)'!Q19-'IS (Base-Case)'!Q19</f>
        <v>0</v>
      </c>
      <c r="R19" s="177">
        <f>'IS (Bull-Case)'!R19-'IS (Base-Case)'!R19</f>
        <v>0</v>
      </c>
      <c r="S19" s="80">
        <f>'IS (Bull-Case)'!S19-'IS (Base-Case)'!S19</f>
        <v>0</v>
      </c>
      <c r="T19" s="80">
        <f>'IS (Bull-Case)'!T19-'IS (Base-Case)'!T19</f>
        <v>0</v>
      </c>
      <c r="U19" s="80">
        <f>'IS (Bull-Case)'!U19-'IS (Base-Case)'!U19</f>
        <v>0</v>
      </c>
      <c r="V19" s="80">
        <f>'IS (Bull-Case)'!V19-'IS (Base-Case)'!V19</f>
        <v>0</v>
      </c>
      <c r="W19" s="177">
        <f>'IS (Bull-Case)'!W19-'IS (Base-Case)'!W19</f>
        <v>0</v>
      </c>
      <c r="X19" s="80">
        <f>'IS (Bull-Case)'!X19-'IS (Base-Case)'!X19</f>
        <v>18.30052082189286</v>
      </c>
      <c r="Y19" s="80">
        <f>'IS (Bull-Case)'!Y19-'IS (Base-Case)'!Y19</f>
        <v>16.906567518842166</v>
      </c>
      <c r="Z19" s="80">
        <f>'IS (Bull-Case)'!Z19-'IS (Base-Case)'!Z19</f>
        <v>22.502042885860646</v>
      </c>
      <c r="AA19" s="80">
        <f>'IS (Bull-Case)'!AA19-'IS (Base-Case)'!AA19</f>
        <v>21.961206521424174</v>
      </c>
      <c r="AB19" s="81">
        <f>'IS (Bull-Case)'!AB19-'IS (Base-Case)'!AB19</f>
        <v>79.670337748022575</v>
      </c>
      <c r="AC19" s="80">
        <f>'IS (Bull-Case)'!AC19-'IS (Base-Case)'!AC19</f>
        <v>58.007004933446296</v>
      </c>
      <c r="AD19" s="80">
        <f>'IS (Bull-Case)'!AD19-'IS (Base-Case)'!AD19</f>
        <v>50.056322700140299</v>
      </c>
      <c r="AE19" s="80">
        <f>'IS (Bull-Case)'!AE19-'IS (Base-Case)'!AE19</f>
        <v>63.521641956684107</v>
      </c>
      <c r="AF19" s="80">
        <f>'IS (Bull-Case)'!AF19-'IS (Base-Case)'!AF19</f>
        <v>57.932877941442712</v>
      </c>
      <c r="AG19" s="81">
        <f>'IS (Bull-Case)'!AG19-'IS (Base-Case)'!AG19</f>
        <v>229.51784753170796</v>
      </c>
      <c r="AH19" s="80">
        <f>'IS (Bull-Case)'!AH19-'IS (Base-Case)'!AH19</f>
        <v>105.20001696460531</v>
      </c>
      <c r="AI19" s="80">
        <f>'IS (Bull-Case)'!AI19-'IS (Base-Case)'!AI19</f>
        <v>91.701029874815504</v>
      </c>
      <c r="AJ19" s="80">
        <f>'IS (Bull-Case)'!AJ19-'IS (Base-Case)'!AJ19</f>
        <v>114.61060508411879</v>
      </c>
      <c r="AK19" s="80">
        <f>'IS (Bull-Case)'!AK19-'IS (Base-Case)'!AK19</f>
        <v>105.27947464987847</v>
      </c>
      <c r="AL19" s="81">
        <f>'IS (Bull-Case)'!AL19-'IS (Base-Case)'!AL19</f>
        <v>416.79112657342193</v>
      </c>
      <c r="AM19" s="80">
        <f>'IS (Bull-Case)'!AM19-'IS (Base-Case)'!AM19</f>
        <v>114.37414523705957</v>
      </c>
      <c r="AN19" s="80">
        <f>'IS (Bull-Case)'!AN19-'IS (Base-Case)'!AN19</f>
        <v>99.58046892899074</v>
      </c>
      <c r="AO19" s="80">
        <f>'IS (Bull-Case)'!AO19-'IS (Base-Case)'!AO19</f>
        <v>124.28651089608684</v>
      </c>
      <c r="AP19" s="80">
        <f>'IS (Bull-Case)'!AP19-'IS (Base-Case)'!AP19</f>
        <v>114.02050382536254</v>
      </c>
      <c r="AQ19" s="81">
        <f>'IS (Bull-Case)'!AQ19-'IS (Base-Case)'!AQ19</f>
        <v>452.26162888748422</v>
      </c>
      <c r="AR19" s="80">
        <f>'IS (Bull-Case)'!AR19-'IS (Base-Case)'!AR19</f>
        <v>121.40134235111691</v>
      </c>
      <c r="AS19" s="80">
        <f>'IS (Bull-Case)'!AS19-'IS (Base-Case)'!AS19</f>
        <v>105.62611150417251</v>
      </c>
      <c r="AT19" s="80">
        <f>'IS (Bull-Case)'!AT19-'IS (Base-Case)'!AT19</f>
        <v>131.88978322334697</v>
      </c>
      <c r="AU19" s="80">
        <f>'IS (Bull-Case)'!AU19-'IS (Base-Case)'!AU19</f>
        <v>120.96016247837179</v>
      </c>
      <c r="AV19" s="81">
        <f>'IS (Bull-Case)'!AV19-'IS (Base-Case)'!AV19</f>
        <v>479.87739955700818</v>
      </c>
    </row>
    <row r="20" spans="1:48" x14ac:dyDescent="0.3">
      <c r="B20" s="38" t="s">
        <v>63</v>
      </c>
      <c r="C20" s="18"/>
      <c r="D20" s="105">
        <f>'IS (Bull-Case)'!D20-'IS (Base-Case)'!D20</f>
        <v>0</v>
      </c>
      <c r="E20" s="105">
        <f>'IS (Bull-Case)'!E20-'IS (Base-Case)'!E20</f>
        <v>0</v>
      </c>
      <c r="F20" s="105">
        <f>'IS (Bull-Case)'!F20-'IS (Base-Case)'!F20</f>
        <v>0</v>
      </c>
      <c r="G20" s="105">
        <f>'IS (Bull-Case)'!G20-'IS (Base-Case)'!G20</f>
        <v>0</v>
      </c>
      <c r="H20" s="170">
        <f>'IS (Bull-Case)'!H20-'IS (Base-Case)'!H20</f>
        <v>0</v>
      </c>
      <c r="I20" s="105">
        <f>'IS (Bull-Case)'!I20-'IS (Base-Case)'!I20</f>
        <v>0</v>
      </c>
      <c r="J20" s="105">
        <f>'IS (Bull-Case)'!J20-'IS (Base-Case)'!J20</f>
        <v>0</v>
      </c>
      <c r="K20" s="105">
        <f>'IS (Bull-Case)'!K20-'IS (Base-Case)'!K20</f>
        <v>0</v>
      </c>
      <c r="L20" s="105">
        <f>'IS (Bull-Case)'!L20-'IS (Base-Case)'!L20</f>
        <v>0</v>
      </c>
      <c r="M20" s="170">
        <f>'IS (Bull-Case)'!M20-'IS (Base-Case)'!M20</f>
        <v>0</v>
      </c>
      <c r="N20" s="105">
        <f>'IS (Bull-Case)'!N20-'IS (Base-Case)'!N20</f>
        <v>0</v>
      </c>
      <c r="O20" s="105">
        <f>'IS (Bull-Case)'!O20-'IS (Base-Case)'!O20</f>
        <v>0</v>
      </c>
      <c r="P20" s="105">
        <f>'IS (Bull-Case)'!P20-'IS (Base-Case)'!P20</f>
        <v>0</v>
      </c>
      <c r="Q20" s="105">
        <f>'IS (Bull-Case)'!Q20-'IS (Base-Case)'!Q20</f>
        <v>0</v>
      </c>
      <c r="R20" s="170">
        <f>'IS (Bull-Case)'!R20-'IS (Base-Case)'!R20</f>
        <v>0</v>
      </c>
      <c r="S20" s="105">
        <f>'IS (Bull-Case)'!S20-'IS (Base-Case)'!S20</f>
        <v>0</v>
      </c>
      <c r="T20" s="105">
        <f>'IS (Bull-Case)'!T20-'IS (Base-Case)'!T20</f>
        <v>0</v>
      </c>
      <c r="U20" s="105">
        <f>'IS (Bull-Case)'!U20-'IS (Base-Case)'!U20</f>
        <v>0</v>
      </c>
      <c r="V20" s="105">
        <f>'IS (Bull-Case)'!V20-'IS (Base-Case)'!V20</f>
        <v>0</v>
      </c>
      <c r="W20" s="170">
        <f>'IS (Bull-Case)'!W20-'IS (Base-Case)'!W20</f>
        <v>0</v>
      </c>
      <c r="X20" s="105">
        <f>'IS (Bull-Case)'!X20-'IS (Base-Case)'!X20</f>
        <v>0</v>
      </c>
      <c r="Y20" s="105">
        <f>'IS (Bull-Case)'!Y20-'IS (Base-Case)'!Y20</f>
        <v>0</v>
      </c>
      <c r="Z20" s="105">
        <f>'IS (Bull-Case)'!Z20-'IS (Base-Case)'!Z20</f>
        <v>0</v>
      </c>
      <c r="AA20" s="105">
        <f>'IS (Bull-Case)'!AA20-'IS (Base-Case)'!AA20</f>
        <v>0</v>
      </c>
      <c r="AB20" s="170">
        <f>'IS (Bull-Case)'!AB20-'IS (Base-Case)'!AB20</f>
        <v>0</v>
      </c>
      <c r="AC20" s="105">
        <f>'IS (Bull-Case)'!AC20-'IS (Base-Case)'!AC20</f>
        <v>0</v>
      </c>
      <c r="AD20" s="105">
        <f>'IS (Bull-Case)'!AD20-'IS (Base-Case)'!AD20</f>
        <v>0</v>
      </c>
      <c r="AE20" s="105">
        <f>'IS (Bull-Case)'!AE20-'IS (Base-Case)'!AE20</f>
        <v>0</v>
      </c>
      <c r="AF20" s="105">
        <f>'IS (Bull-Case)'!AF20-'IS (Base-Case)'!AF20</f>
        <v>0</v>
      </c>
      <c r="AG20" s="170">
        <f>'IS (Bull-Case)'!AG20-'IS (Base-Case)'!AG20</f>
        <v>0</v>
      </c>
      <c r="AH20" s="105">
        <f>'IS (Bull-Case)'!AH20-'IS (Base-Case)'!AH20</f>
        <v>0</v>
      </c>
      <c r="AI20" s="105">
        <f>'IS (Bull-Case)'!AI20-'IS (Base-Case)'!AI20</f>
        <v>0</v>
      </c>
      <c r="AJ20" s="105">
        <f>'IS (Bull-Case)'!AJ20-'IS (Base-Case)'!AJ20</f>
        <v>0</v>
      </c>
      <c r="AK20" s="105">
        <f>'IS (Bull-Case)'!AK20-'IS (Base-Case)'!AK20</f>
        <v>0</v>
      </c>
      <c r="AL20" s="170">
        <f>'IS (Bull-Case)'!AL20-'IS (Base-Case)'!AL20</f>
        <v>0</v>
      </c>
      <c r="AM20" s="105">
        <f>'IS (Bull-Case)'!AM20-'IS (Base-Case)'!AM20</f>
        <v>0</v>
      </c>
      <c r="AN20" s="105">
        <f>'IS (Bull-Case)'!AN20-'IS (Base-Case)'!AN20</f>
        <v>0</v>
      </c>
      <c r="AO20" s="105">
        <f>'IS (Bull-Case)'!AO20-'IS (Base-Case)'!AO20</f>
        <v>0</v>
      </c>
      <c r="AP20" s="105">
        <f>'IS (Bull-Case)'!AP20-'IS (Base-Case)'!AP20</f>
        <v>0</v>
      </c>
      <c r="AQ20" s="170">
        <f>'IS (Bull-Case)'!AQ20-'IS (Base-Case)'!AQ20</f>
        <v>0</v>
      </c>
      <c r="AR20" s="105">
        <f>'IS (Bull-Case)'!AR20-'IS (Base-Case)'!AR20</f>
        <v>0</v>
      </c>
      <c r="AS20" s="105">
        <f>'IS (Bull-Case)'!AS20-'IS (Base-Case)'!AS20</f>
        <v>0</v>
      </c>
      <c r="AT20" s="105">
        <f>'IS (Bull-Case)'!AT20-'IS (Base-Case)'!AT20</f>
        <v>0</v>
      </c>
      <c r="AU20" s="105">
        <f>'IS (Bull-Case)'!AU20-'IS (Base-Case)'!AU20</f>
        <v>0</v>
      </c>
      <c r="AV20" s="170">
        <f>'IS (Bull-Case)'!AV20-'IS (Base-Case)'!AV20</f>
        <v>0</v>
      </c>
    </row>
    <row r="21" spans="1:48" x14ac:dyDescent="0.3">
      <c r="B21" s="38" t="s">
        <v>37</v>
      </c>
      <c r="C21" s="18"/>
      <c r="D21" s="105">
        <f>'IS (Bull-Case)'!D21-'IS (Base-Case)'!D21</f>
        <v>0</v>
      </c>
      <c r="E21" s="105">
        <f>'IS (Bull-Case)'!E21-'IS (Base-Case)'!E21</f>
        <v>0</v>
      </c>
      <c r="F21" s="102">
        <f>'IS (Bull-Case)'!F21-'IS (Base-Case)'!F21</f>
        <v>0</v>
      </c>
      <c r="G21" s="105">
        <f>'IS (Bull-Case)'!G21-'IS (Base-Case)'!G21</f>
        <v>0</v>
      </c>
      <c r="H21" s="170">
        <f>'IS (Bull-Case)'!H21-'IS (Base-Case)'!H21</f>
        <v>0</v>
      </c>
      <c r="I21" s="105">
        <f>'IS (Bull-Case)'!I21-'IS (Base-Case)'!I21</f>
        <v>0</v>
      </c>
      <c r="J21" s="105">
        <f>'IS (Bull-Case)'!J21-'IS (Base-Case)'!J21</f>
        <v>0</v>
      </c>
      <c r="K21" s="105">
        <f>'IS (Bull-Case)'!K21-'IS (Base-Case)'!K21</f>
        <v>0</v>
      </c>
      <c r="L21" s="105">
        <f>'IS (Bull-Case)'!L21-'IS (Base-Case)'!L21</f>
        <v>0</v>
      </c>
      <c r="M21" s="170">
        <f>'IS (Bull-Case)'!M21-'IS (Base-Case)'!M21</f>
        <v>0</v>
      </c>
      <c r="N21" s="105">
        <f>'IS (Bull-Case)'!N21-'IS (Base-Case)'!N21</f>
        <v>0</v>
      </c>
      <c r="O21" s="105">
        <f>'IS (Bull-Case)'!O21-'IS (Base-Case)'!O21</f>
        <v>0</v>
      </c>
      <c r="P21" s="105">
        <f>'IS (Bull-Case)'!P21-'IS (Base-Case)'!P21</f>
        <v>0</v>
      </c>
      <c r="Q21" s="105">
        <f>'IS (Bull-Case)'!Q21-'IS (Base-Case)'!Q21</f>
        <v>0</v>
      </c>
      <c r="R21" s="170">
        <f>'IS (Bull-Case)'!R21-'IS (Base-Case)'!R21</f>
        <v>0</v>
      </c>
      <c r="S21" s="105">
        <f>'IS (Bull-Case)'!S21-'IS (Base-Case)'!S21</f>
        <v>0</v>
      </c>
      <c r="T21" s="105">
        <f>'IS (Bull-Case)'!T21-'IS (Base-Case)'!T21</f>
        <v>0</v>
      </c>
      <c r="U21" s="105">
        <f>'IS (Bull-Case)'!U21-'IS (Base-Case)'!U21</f>
        <v>0</v>
      </c>
      <c r="V21" s="105">
        <f>'IS (Bull-Case)'!V21-'IS (Base-Case)'!V21</f>
        <v>0</v>
      </c>
      <c r="W21" s="170">
        <f>'IS (Bull-Case)'!W21-'IS (Base-Case)'!W21</f>
        <v>0</v>
      </c>
      <c r="X21" s="105">
        <f>'IS (Bull-Case)'!X21-'IS (Base-Case)'!X21</f>
        <v>0</v>
      </c>
      <c r="Y21" s="105">
        <f>'IS (Bull-Case)'!Y21-'IS (Base-Case)'!Y21</f>
        <v>-2.2928686548425503E-2</v>
      </c>
      <c r="Z21" s="105">
        <f>'IS (Bull-Case)'!Z21-'IS (Base-Case)'!Z21</f>
        <v>0.12593862780312293</v>
      </c>
      <c r="AA21" s="105">
        <f>'IS (Bull-Case)'!AA21-'IS (Base-Case)'!AA21</f>
        <v>0.19210675171444791</v>
      </c>
      <c r="AB21" s="170">
        <f>'IS (Bull-Case)'!AB21-'IS (Base-Case)'!AB21</f>
        <v>0.29511669296914533</v>
      </c>
      <c r="AC21" s="105">
        <f>'IS (Bull-Case)'!AC21-'IS (Base-Case)'!AC21</f>
        <v>0.37801163663719706</v>
      </c>
      <c r="AD21" s="105">
        <f>'IS (Bull-Case)'!AD21-'IS (Base-Case)'!AD21</f>
        <v>0.61759307153650411</v>
      </c>
      <c r="AE21" s="105">
        <f>'IS (Bull-Case)'!AE21-'IS (Base-Case)'!AE21</f>
        <v>0.92056926468810474</v>
      </c>
      <c r="AF21" s="105">
        <f>'IS (Bull-Case)'!AF21-'IS (Base-Case)'!AF21</f>
        <v>1.3028809895079618</v>
      </c>
      <c r="AG21" s="170">
        <f>'IS (Bull-Case)'!AG21-'IS (Base-Case)'!AG21</f>
        <v>3.2190549623697677</v>
      </c>
      <c r="AH21" s="105">
        <f>'IS (Bull-Case)'!AH21-'IS (Base-Case)'!AH21</f>
        <v>1.7395458310807115</v>
      </c>
      <c r="AI21" s="105">
        <f>'IS (Bull-Case)'!AI21-'IS (Base-Case)'!AI21</f>
        <v>2.2652217443037799</v>
      </c>
      <c r="AJ21" s="105">
        <f>'IS (Bull-Case)'!AJ21-'IS (Base-Case)'!AJ21</f>
        <v>2.8197695042429274</v>
      </c>
      <c r="AK21" s="105">
        <f>'IS (Bull-Case)'!AK21-'IS (Base-Case)'!AK21</f>
        <v>3.4961868935352101</v>
      </c>
      <c r="AL21" s="170">
        <f>'IS (Bull-Case)'!AL21-'IS (Base-Case)'!AL21</f>
        <v>10.320723973162643</v>
      </c>
      <c r="AM21" s="105">
        <f>'IS (Bull-Case)'!AM21-'IS (Base-Case)'!AM21</f>
        <v>16.27275985061485</v>
      </c>
      <c r="AN21" s="105">
        <f>'IS (Bull-Case)'!AN21-'IS (Base-Case)'!AN21</f>
        <v>16.929723374160591</v>
      </c>
      <c r="AO21" s="105">
        <f>'IS (Bull-Case)'!AO21-'IS (Base-Case)'!AO21</f>
        <v>17.446709025291483</v>
      </c>
      <c r="AP21" s="105">
        <f>'IS (Bull-Case)'!AP21-'IS (Base-Case)'!AP21</f>
        <v>18.032192710602246</v>
      </c>
      <c r="AQ21" s="170">
        <f>'IS (Bull-Case)'!AQ21-'IS (Base-Case)'!AQ21</f>
        <v>68.681384960669163</v>
      </c>
      <c r="AR21" s="105">
        <f>'IS (Bull-Case)'!AR21-'IS (Base-Case)'!AR21</f>
        <v>18.674718289407995</v>
      </c>
      <c r="AS21" s="105">
        <f>'IS (Bull-Case)'!AS21-'IS (Base-Case)'!AS21</f>
        <v>19.258446272350874</v>
      </c>
      <c r="AT21" s="105">
        <f>'IS (Bull-Case)'!AT21-'IS (Base-Case)'!AT21</f>
        <v>19.687209390033694</v>
      </c>
      <c r="AU21" s="105">
        <f>'IS (Bull-Case)'!AU21-'IS (Base-Case)'!AU21</f>
        <v>20.258325972625379</v>
      </c>
      <c r="AV21" s="170">
        <f>'IS (Bull-Case)'!AV21-'IS (Base-Case)'!AV21</f>
        <v>77.87869992441793</v>
      </c>
    </row>
    <row r="22" spans="1:48" ht="16.2" x14ac:dyDescent="0.45">
      <c r="B22" s="38" t="s">
        <v>38</v>
      </c>
      <c r="C22" s="356"/>
      <c r="D22" s="104">
        <f>'IS (Bull-Case)'!D22-'IS (Base-Case)'!D22</f>
        <v>0</v>
      </c>
      <c r="E22" s="104">
        <f>'IS (Bull-Case)'!E22-'IS (Base-Case)'!E22</f>
        <v>0</v>
      </c>
      <c r="F22" s="104">
        <f>'IS (Bull-Case)'!F22-'IS (Base-Case)'!F22</f>
        <v>0</v>
      </c>
      <c r="G22" s="104">
        <f>'IS (Bull-Case)'!G22-'IS (Base-Case)'!G22</f>
        <v>0</v>
      </c>
      <c r="H22" s="173">
        <f>'IS (Bull-Case)'!H22-'IS (Base-Case)'!H22</f>
        <v>0</v>
      </c>
      <c r="I22" s="104">
        <f>'IS (Bull-Case)'!I22-'IS (Base-Case)'!I22</f>
        <v>0</v>
      </c>
      <c r="J22" s="104">
        <f>'IS (Bull-Case)'!J22-'IS (Base-Case)'!J22</f>
        <v>0</v>
      </c>
      <c r="K22" s="104">
        <f>'IS (Bull-Case)'!K22-'IS (Base-Case)'!K22</f>
        <v>0</v>
      </c>
      <c r="L22" s="104">
        <f>'IS (Bull-Case)'!L22-'IS (Base-Case)'!L22</f>
        <v>0</v>
      </c>
      <c r="M22" s="173">
        <f>'IS (Bull-Case)'!M22-'IS (Base-Case)'!M22</f>
        <v>0</v>
      </c>
      <c r="N22" s="104">
        <f>'IS (Bull-Case)'!N22-'IS (Base-Case)'!N22</f>
        <v>0</v>
      </c>
      <c r="O22" s="104">
        <f>'IS (Bull-Case)'!O22-'IS (Base-Case)'!O22</f>
        <v>0</v>
      </c>
      <c r="P22" s="104">
        <f>'IS (Bull-Case)'!P22-'IS (Base-Case)'!P22</f>
        <v>0</v>
      </c>
      <c r="Q22" s="104">
        <f>'IS (Bull-Case)'!Q22-'IS (Base-Case)'!Q22</f>
        <v>0</v>
      </c>
      <c r="R22" s="173">
        <f>'IS (Bull-Case)'!R22-'IS (Base-Case)'!R22</f>
        <v>0</v>
      </c>
      <c r="S22" s="104">
        <f>'IS (Bull-Case)'!S22-'IS (Base-Case)'!S22</f>
        <v>0</v>
      </c>
      <c r="T22" s="104">
        <f>'IS (Bull-Case)'!T22-'IS (Base-Case)'!T22</f>
        <v>0</v>
      </c>
      <c r="U22" s="104">
        <f>'IS (Bull-Case)'!U22-'IS (Base-Case)'!U22</f>
        <v>0</v>
      </c>
      <c r="V22" s="104">
        <f>'IS (Bull-Case)'!V22-'IS (Base-Case)'!V22</f>
        <v>0</v>
      </c>
      <c r="W22" s="173">
        <f>'IS (Bull-Case)'!W22-'IS (Base-Case)'!W22</f>
        <v>0</v>
      </c>
      <c r="X22" s="104">
        <f>'IS (Bull-Case)'!X22-'IS (Base-Case)'!X22</f>
        <v>0</v>
      </c>
      <c r="Y22" s="104">
        <f>'IS (Bull-Case)'!Y22-'IS (Base-Case)'!Y22</f>
        <v>0</v>
      </c>
      <c r="Z22" s="104">
        <f>'IS (Bull-Case)'!Z22-'IS (Base-Case)'!Z22</f>
        <v>0</v>
      </c>
      <c r="AA22" s="104">
        <f>'IS (Bull-Case)'!AA22-'IS (Base-Case)'!AA22</f>
        <v>0</v>
      </c>
      <c r="AB22" s="173">
        <f>'IS (Bull-Case)'!AB22-'IS (Base-Case)'!AB22</f>
        <v>0</v>
      </c>
      <c r="AC22" s="104">
        <f>'IS (Bull-Case)'!AC22-'IS (Base-Case)'!AC22</f>
        <v>0</v>
      </c>
      <c r="AD22" s="104">
        <f>'IS (Bull-Case)'!AD22-'IS (Base-Case)'!AD22</f>
        <v>0</v>
      </c>
      <c r="AE22" s="104">
        <f>'IS (Bull-Case)'!AE22-'IS (Base-Case)'!AE22</f>
        <v>0</v>
      </c>
      <c r="AF22" s="104">
        <f>'IS (Bull-Case)'!AF22-'IS (Base-Case)'!AF22</f>
        <v>0</v>
      </c>
      <c r="AG22" s="173">
        <f>'IS (Bull-Case)'!AG22-'IS (Base-Case)'!AG22</f>
        <v>0</v>
      </c>
      <c r="AH22" s="104">
        <f>'IS (Bull-Case)'!AH22-'IS (Base-Case)'!AH22</f>
        <v>0</v>
      </c>
      <c r="AI22" s="104">
        <f>'IS (Bull-Case)'!AI22-'IS (Base-Case)'!AI22</f>
        <v>0</v>
      </c>
      <c r="AJ22" s="104">
        <f>'IS (Bull-Case)'!AJ22-'IS (Base-Case)'!AJ22</f>
        <v>0</v>
      </c>
      <c r="AK22" s="104">
        <f>'IS (Bull-Case)'!AK22-'IS (Base-Case)'!AK22</f>
        <v>13.351986959058934</v>
      </c>
      <c r="AL22" s="173">
        <f>'IS (Bull-Case)'!AL22-'IS (Base-Case)'!AL22</f>
        <v>13.351986959058877</v>
      </c>
      <c r="AM22" s="104">
        <f>'IS (Bull-Case)'!AM22-'IS (Base-Case)'!AM22</f>
        <v>13.351986959058934</v>
      </c>
      <c r="AN22" s="104">
        <f>'IS (Bull-Case)'!AN22-'IS (Base-Case)'!AN22</f>
        <v>13.351986959058934</v>
      </c>
      <c r="AO22" s="104">
        <f>'IS (Bull-Case)'!AO22-'IS (Base-Case)'!AO22</f>
        <v>13.351986959058934</v>
      </c>
      <c r="AP22" s="104">
        <f>'IS (Bull-Case)'!AP22-'IS (Base-Case)'!AP22</f>
        <v>13.351986959058934</v>
      </c>
      <c r="AQ22" s="173">
        <f>'IS (Bull-Case)'!AQ22-'IS (Base-Case)'!AQ22</f>
        <v>53.407947836235735</v>
      </c>
      <c r="AR22" s="104">
        <f>'IS (Bull-Case)'!AR22-'IS (Base-Case)'!AR22</f>
        <v>13.351986959058934</v>
      </c>
      <c r="AS22" s="104">
        <f>'IS (Bull-Case)'!AS22-'IS (Base-Case)'!AS22</f>
        <v>13.351986959058934</v>
      </c>
      <c r="AT22" s="104">
        <f>'IS (Bull-Case)'!AT22-'IS (Base-Case)'!AT22</f>
        <v>13.351986959058934</v>
      </c>
      <c r="AU22" s="104">
        <f>'IS (Bull-Case)'!AU22-'IS (Base-Case)'!AU22</f>
        <v>13.351986959058934</v>
      </c>
      <c r="AV22" s="173">
        <f>'IS (Bull-Case)'!AV22-'IS (Base-Case)'!AV22</f>
        <v>53.407947836235735</v>
      </c>
    </row>
    <row r="23" spans="1:48" x14ac:dyDescent="0.3">
      <c r="B23" s="463" t="s">
        <v>11</v>
      </c>
      <c r="C23" s="464"/>
      <c r="D23" s="103">
        <f>'IS (Bull-Case)'!D23-'IS (Base-Case)'!D23</f>
        <v>0</v>
      </c>
      <c r="E23" s="103">
        <f>'IS (Bull-Case)'!E23-'IS (Base-Case)'!E23</f>
        <v>0</v>
      </c>
      <c r="F23" s="103">
        <f>'IS (Bull-Case)'!F23-'IS (Base-Case)'!F23</f>
        <v>0</v>
      </c>
      <c r="G23" s="103">
        <f>'IS (Bull-Case)'!G23-'IS (Base-Case)'!G23</f>
        <v>0</v>
      </c>
      <c r="H23" s="171">
        <f>'IS (Bull-Case)'!H23-'IS (Base-Case)'!H23</f>
        <v>0</v>
      </c>
      <c r="I23" s="103">
        <f>'IS (Bull-Case)'!I23-'IS (Base-Case)'!I23</f>
        <v>0</v>
      </c>
      <c r="J23" s="103">
        <f>'IS (Bull-Case)'!J23-'IS (Base-Case)'!J23</f>
        <v>0</v>
      </c>
      <c r="K23" s="103">
        <f>'IS (Bull-Case)'!K23-'IS (Base-Case)'!K23</f>
        <v>0</v>
      </c>
      <c r="L23" s="50">
        <f>'IS (Bull-Case)'!L23-'IS (Base-Case)'!L23</f>
        <v>0</v>
      </c>
      <c r="M23" s="51">
        <f>'IS (Bull-Case)'!M23-'IS (Base-Case)'!M23</f>
        <v>0</v>
      </c>
      <c r="N23" s="50">
        <f>'IS (Bull-Case)'!N23-'IS (Base-Case)'!N23</f>
        <v>0</v>
      </c>
      <c r="O23" s="103">
        <f>'IS (Bull-Case)'!O23-'IS (Base-Case)'!O23</f>
        <v>0</v>
      </c>
      <c r="P23" s="103">
        <f>'IS (Bull-Case)'!P23-'IS (Base-Case)'!P23</f>
        <v>0</v>
      </c>
      <c r="Q23" s="103">
        <f>'IS (Bull-Case)'!Q23-'IS (Base-Case)'!Q23</f>
        <v>0</v>
      </c>
      <c r="R23" s="171">
        <f>'IS (Bull-Case)'!R23-'IS (Base-Case)'!R23</f>
        <v>0</v>
      </c>
      <c r="S23" s="50">
        <f>'IS (Bull-Case)'!S23-'IS (Base-Case)'!S23</f>
        <v>0</v>
      </c>
      <c r="T23" s="50">
        <f>'IS (Bull-Case)'!T23-'IS (Base-Case)'!T23</f>
        <v>0</v>
      </c>
      <c r="U23" s="50">
        <f>'IS (Bull-Case)'!U23-'IS (Base-Case)'!U23</f>
        <v>0</v>
      </c>
      <c r="V23" s="50">
        <f>'IS (Bull-Case)'!V23-'IS (Base-Case)'!V23</f>
        <v>0</v>
      </c>
      <c r="W23" s="171">
        <f>'IS (Bull-Case)'!W23-'IS (Base-Case)'!W23</f>
        <v>0</v>
      </c>
      <c r="X23" s="50">
        <f>'IS (Bull-Case)'!X23-'IS (Base-Case)'!X23</f>
        <v>18.30052082189286</v>
      </c>
      <c r="Y23" s="50">
        <f>'IS (Bull-Case)'!Y23-'IS (Base-Case)'!Y23</f>
        <v>16.883638832293855</v>
      </c>
      <c r="Z23" s="50">
        <f>'IS (Bull-Case)'!Z23-'IS (Base-Case)'!Z23</f>
        <v>22.627981513663826</v>
      </c>
      <c r="AA23" s="50">
        <f>'IS (Bull-Case)'!AA23-'IS (Base-Case)'!AA23</f>
        <v>22.153313273138792</v>
      </c>
      <c r="AB23" s="51">
        <f>'IS (Bull-Case)'!AB23-'IS (Base-Case)'!AB23</f>
        <v>79.96545444099138</v>
      </c>
      <c r="AC23" s="50">
        <f>'IS (Bull-Case)'!AC23-'IS (Base-Case)'!AC23</f>
        <v>58.385016570083508</v>
      </c>
      <c r="AD23" s="50">
        <f>'IS (Bull-Case)'!AD23-'IS (Base-Case)'!AD23</f>
        <v>50.673915771677002</v>
      </c>
      <c r="AE23" s="50">
        <f>'IS (Bull-Case)'!AE23-'IS (Base-Case)'!AE23</f>
        <v>64.442211221372418</v>
      </c>
      <c r="AF23" s="50">
        <f>'IS (Bull-Case)'!AF23-'IS (Base-Case)'!AF23</f>
        <v>59.235758930950624</v>
      </c>
      <c r="AG23" s="51">
        <f>'IS (Bull-Case)'!AG23-'IS (Base-Case)'!AG23</f>
        <v>232.73690249407809</v>
      </c>
      <c r="AH23" s="50">
        <f>'IS (Bull-Case)'!AH23-'IS (Base-Case)'!AH23</f>
        <v>106.93956279568602</v>
      </c>
      <c r="AI23" s="50">
        <f>'IS (Bull-Case)'!AI23-'IS (Base-Case)'!AI23</f>
        <v>93.966251619119248</v>
      </c>
      <c r="AJ23" s="50">
        <f>'IS (Bull-Case)'!AJ23-'IS (Base-Case)'!AJ23</f>
        <v>117.4303745883617</v>
      </c>
      <c r="AK23" s="50">
        <f>'IS (Bull-Case)'!AK23-'IS (Base-Case)'!AK23</f>
        <v>122.12764850247254</v>
      </c>
      <c r="AL23" s="51">
        <f>'IS (Bull-Case)'!AL23-'IS (Base-Case)'!AL23</f>
        <v>440.46383750564382</v>
      </c>
      <c r="AM23" s="50">
        <f>'IS (Bull-Case)'!AM23-'IS (Base-Case)'!AM23</f>
        <v>143.99889204673286</v>
      </c>
      <c r="AN23" s="50">
        <f>'IS (Bull-Case)'!AN23-'IS (Base-Case)'!AN23</f>
        <v>129.86217926221002</v>
      </c>
      <c r="AO23" s="50">
        <f>'IS (Bull-Case)'!AO23-'IS (Base-Case)'!AO23</f>
        <v>155.08520688043745</v>
      </c>
      <c r="AP23" s="50">
        <f>'IS (Bull-Case)'!AP23-'IS (Base-Case)'!AP23</f>
        <v>145.40468349502339</v>
      </c>
      <c r="AQ23" s="51">
        <f>'IS (Bull-Case)'!AQ23-'IS (Base-Case)'!AQ23</f>
        <v>574.35096168438849</v>
      </c>
      <c r="AR23" s="50">
        <f>'IS (Bull-Case)'!AR23-'IS (Base-Case)'!AR23</f>
        <v>153.42804759958426</v>
      </c>
      <c r="AS23" s="50">
        <f>'IS (Bull-Case)'!AS23-'IS (Base-Case)'!AS23</f>
        <v>138.23654473558236</v>
      </c>
      <c r="AT23" s="50">
        <f>'IS (Bull-Case)'!AT23-'IS (Base-Case)'!AT23</f>
        <v>164.9289795724394</v>
      </c>
      <c r="AU23" s="50">
        <f>'IS (Bull-Case)'!AU23-'IS (Base-Case)'!AU23</f>
        <v>154.57047541005613</v>
      </c>
      <c r="AV23" s="51">
        <f>'IS (Bull-Case)'!AV23-'IS (Base-Case)'!AV23</f>
        <v>611.16404731766124</v>
      </c>
    </row>
    <row r="24" spans="1:48" ht="16.2" x14ac:dyDescent="0.45">
      <c r="B24" s="465" t="s">
        <v>5</v>
      </c>
      <c r="C24" s="466"/>
      <c r="D24" s="104">
        <f>'IS (Bull-Case)'!D24-'IS (Base-Case)'!D24</f>
        <v>0</v>
      </c>
      <c r="E24" s="104">
        <f>'IS (Bull-Case)'!E24-'IS (Base-Case)'!E24</f>
        <v>0</v>
      </c>
      <c r="F24" s="104">
        <f>'IS (Bull-Case)'!F24-'IS (Base-Case)'!F24</f>
        <v>0</v>
      </c>
      <c r="G24" s="104">
        <f>'IS (Bull-Case)'!G24-'IS (Base-Case)'!G24</f>
        <v>0</v>
      </c>
      <c r="H24" s="173">
        <f>'IS (Bull-Case)'!H24-'IS (Base-Case)'!H24</f>
        <v>0</v>
      </c>
      <c r="I24" s="104">
        <f>'IS (Bull-Case)'!I24-'IS (Base-Case)'!I24</f>
        <v>0</v>
      </c>
      <c r="J24" s="104">
        <f>'IS (Bull-Case)'!J24-'IS (Base-Case)'!J24</f>
        <v>0</v>
      </c>
      <c r="K24" s="104">
        <f>'IS (Bull-Case)'!K24-'IS (Base-Case)'!K24</f>
        <v>0</v>
      </c>
      <c r="L24" s="52">
        <f>'IS (Bull-Case)'!L24-'IS (Base-Case)'!L24</f>
        <v>0</v>
      </c>
      <c r="M24" s="53">
        <f>'IS (Bull-Case)'!M24-'IS (Base-Case)'!M24</f>
        <v>0</v>
      </c>
      <c r="N24" s="52">
        <f>'IS (Bull-Case)'!N24-'IS (Base-Case)'!N24</f>
        <v>0</v>
      </c>
      <c r="O24" s="104">
        <f>'IS (Bull-Case)'!O24-'IS (Base-Case)'!O24</f>
        <v>0</v>
      </c>
      <c r="P24" s="104">
        <f>'IS (Bull-Case)'!P24-'IS (Base-Case)'!P24</f>
        <v>0</v>
      </c>
      <c r="Q24" s="104">
        <f>'IS (Bull-Case)'!Q24-'IS (Base-Case)'!Q24</f>
        <v>0</v>
      </c>
      <c r="R24" s="173">
        <f>'IS (Bull-Case)'!R24-'IS (Base-Case)'!R24</f>
        <v>0</v>
      </c>
      <c r="S24" s="52">
        <f>'IS (Bull-Case)'!S24-'IS (Base-Case)'!S24</f>
        <v>0</v>
      </c>
      <c r="T24" s="52">
        <f>'IS (Bull-Case)'!T24-'IS (Base-Case)'!T24</f>
        <v>0</v>
      </c>
      <c r="U24" s="52">
        <f>'IS (Bull-Case)'!U24-'IS (Base-Case)'!U24</f>
        <v>0</v>
      </c>
      <c r="V24" s="52">
        <f>'IS (Bull-Case)'!V24-'IS (Base-Case)'!V24</f>
        <v>0</v>
      </c>
      <c r="W24" s="173">
        <f>'IS (Bull-Case)'!W24-'IS (Base-Case)'!W24</f>
        <v>0</v>
      </c>
      <c r="X24" s="52">
        <f>'IS (Bull-Case)'!X24-'IS (Base-Case)'!X24</f>
        <v>4.4836276013637075</v>
      </c>
      <c r="Y24" s="52">
        <f>'IS (Bull-Case)'!Y24-'IS (Base-Case)'!Y24</f>
        <v>4.1364915139120058</v>
      </c>
      <c r="Z24" s="52">
        <f>'IS (Bull-Case)'!Z24-'IS (Base-Case)'!Z24</f>
        <v>5.5438554708476318</v>
      </c>
      <c r="AA24" s="52">
        <f>'IS (Bull-Case)'!AA24-'IS (Base-Case)'!AA24</f>
        <v>5.4275617519190291</v>
      </c>
      <c r="AB24" s="53">
        <f>'IS (Bull-Case)'!AB24-'IS (Base-Case)'!AB24</f>
        <v>19.591536338042488</v>
      </c>
      <c r="AC24" s="52">
        <f>'IS (Bull-Case)'!AC24-'IS (Base-Case)'!AC24</f>
        <v>14.304329059670465</v>
      </c>
      <c r="AD24" s="52">
        <f>'IS (Bull-Case)'!AD24-'IS (Base-Case)'!AD24</f>
        <v>12.415109364060868</v>
      </c>
      <c r="AE24" s="52">
        <f>'IS (Bull-Case)'!AE24-'IS (Base-Case)'!AE24</f>
        <v>15.788341749236224</v>
      </c>
      <c r="AF24" s="52">
        <f>'IS (Bull-Case)'!AF24-'IS (Base-Case)'!AF24</f>
        <v>14.51276093808292</v>
      </c>
      <c r="AG24" s="53">
        <f>'IS (Bull-Case)'!AG24-'IS (Base-Case)'!AG24</f>
        <v>57.020541111050534</v>
      </c>
      <c r="AH24" s="52">
        <f>'IS (Bull-Case)'!AH24-'IS (Base-Case)'!AH24</f>
        <v>26.200192884943021</v>
      </c>
      <c r="AI24" s="52">
        <f>'IS (Bull-Case)'!AI24-'IS (Base-Case)'!AI24</f>
        <v>23.021731646684259</v>
      </c>
      <c r="AJ24" s="52">
        <f>'IS (Bull-Case)'!AJ24-'IS (Base-Case)'!AJ24</f>
        <v>28.770441774148594</v>
      </c>
      <c r="AK24" s="52">
        <f>'IS (Bull-Case)'!AK24-'IS (Base-Case)'!AK24</f>
        <v>29.921273883105755</v>
      </c>
      <c r="AL24" s="53">
        <f>'IS (Bull-Case)'!AL24-'IS (Base-Case)'!AL24</f>
        <v>107.91364018888157</v>
      </c>
      <c r="AM24" s="52">
        <f>'IS (Bull-Case)'!AM24-'IS (Base-Case)'!AM24</f>
        <v>35.279728551449523</v>
      </c>
      <c r="AN24" s="52">
        <f>'IS (Bull-Case)'!AN24-'IS (Base-Case)'!AN24</f>
        <v>31.816233919241427</v>
      </c>
      <c r="AO24" s="52">
        <f>'IS (Bull-Case)'!AO24-'IS (Base-Case)'!AO24</f>
        <v>37.995875685707176</v>
      </c>
      <c r="AP24" s="52">
        <f>'IS (Bull-Case)'!AP24-'IS (Base-Case)'!AP24</f>
        <v>35.624147456280753</v>
      </c>
      <c r="AQ24" s="53">
        <f>'IS (Bull-Case)'!AQ24-'IS (Base-Case)'!AQ24</f>
        <v>140.71598561267911</v>
      </c>
      <c r="AR24" s="52">
        <f>'IS (Bull-Case)'!AR24-'IS (Base-Case)'!AR24</f>
        <v>37.589871661898087</v>
      </c>
      <c r="AS24" s="52">
        <f>'IS (Bull-Case)'!AS24-'IS (Base-Case)'!AS24</f>
        <v>33.867953460217677</v>
      </c>
      <c r="AT24" s="52">
        <f>'IS (Bull-Case)'!AT24-'IS (Base-Case)'!AT24</f>
        <v>40.407599995247665</v>
      </c>
      <c r="AU24" s="52">
        <f>'IS (Bull-Case)'!AU24-'IS (Base-Case)'!AU24</f>
        <v>37.869766475463734</v>
      </c>
      <c r="AV24" s="53">
        <f>'IS (Bull-Case)'!AV24-'IS (Base-Case)'!AV24</f>
        <v>149.73519159282705</v>
      </c>
    </row>
    <row r="25" spans="1:48" x14ac:dyDescent="0.3">
      <c r="A25" s="23"/>
      <c r="B25" s="463" t="s">
        <v>39</v>
      </c>
      <c r="C25" s="464"/>
      <c r="D25" s="103">
        <f>'IS (Bull-Case)'!D25-'IS (Base-Case)'!D25</f>
        <v>0</v>
      </c>
      <c r="E25" s="103">
        <f>'IS (Bull-Case)'!E25-'IS (Base-Case)'!E25</f>
        <v>0</v>
      </c>
      <c r="F25" s="103">
        <f>'IS (Bull-Case)'!F25-'IS (Base-Case)'!F25</f>
        <v>0</v>
      </c>
      <c r="G25" s="103">
        <f>'IS (Bull-Case)'!G25-'IS (Base-Case)'!G25</f>
        <v>0</v>
      </c>
      <c r="H25" s="171">
        <f>'IS (Bull-Case)'!H25-'IS (Base-Case)'!H25</f>
        <v>0</v>
      </c>
      <c r="I25" s="103">
        <f>'IS (Bull-Case)'!I25-'IS (Base-Case)'!I25</f>
        <v>0</v>
      </c>
      <c r="J25" s="103">
        <f>'IS (Bull-Case)'!J25-'IS (Base-Case)'!J25</f>
        <v>0</v>
      </c>
      <c r="K25" s="103">
        <f>'IS (Bull-Case)'!K25-'IS (Base-Case)'!K25</f>
        <v>0</v>
      </c>
      <c r="L25" s="50">
        <f>'IS (Bull-Case)'!L25-'IS (Base-Case)'!L25</f>
        <v>0</v>
      </c>
      <c r="M25" s="51">
        <f>'IS (Bull-Case)'!M25-'IS (Base-Case)'!M25</f>
        <v>0</v>
      </c>
      <c r="N25" s="50">
        <f>'IS (Bull-Case)'!N25-'IS (Base-Case)'!N25</f>
        <v>0</v>
      </c>
      <c r="O25" s="103">
        <f>'IS (Bull-Case)'!O25-'IS (Base-Case)'!O25</f>
        <v>0</v>
      </c>
      <c r="P25" s="103">
        <f>'IS (Bull-Case)'!P25-'IS (Base-Case)'!P25</f>
        <v>0</v>
      </c>
      <c r="Q25" s="103">
        <f>'IS (Bull-Case)'!Q25-'IS (Base-Case)'!Q25</f>
        <v>0</v>
      </c>
      <c r="R25" s="171">
        <f>'IS (Bull-Case)'!R25-'IS (Base-Case)'!R25</f>
        <v>0</v>
      </c>
      <c r="S25" s="50">
        <f>'IS (Bull-Case)'!S25-'IS (Base-Case)'!S25</f>
        <v>0</v>
      </c>
      <c r="T25" s="50">
        <f>'IS (Bull-Case)'!T25-'IS (Base-Case)'!T25</f>
        <v>0</v>
      </c>
      <c r="U25" s="50">
        <f>'IS (Bull-Case)'!U25-'IS (Base-Case)'!U25</f>
        <v>0</v>
      </c>
      <c r="V25" s="50">
        <f>'IS (Bull-Case)'!V25-'IS (Base-Case)'!V25</f>
        <v>0</v>
      </c>
      <c r="W25" s="171">
        <f>'IS (Bull-Case)'!W25-'IS (Base-Case)'!W25</f>
        <v>0</v>
      </c>
      <c r="X25" s="50">
        <f>'IS (Bull-Case)'!X25-'IS (Base-Case)'!X25</f>
        <v>13.816893220529209</v>
      </c>
      <c r="Y25" s="50">
        <f>'IS (Bull-Case)'!Y25-'IS (Base-Case)'!Y25</f>
        <v>12.747147318381849</v>
      </c>
      <c r="Z25" s="50">
        <f>'IS (Bull-Case)'!Z25-'IS (Base-Case)'!Z25</f>
        <v>17.084126042816024</v>
      </c>
      <c r="AA25" s="50">
        <f>'IS (Bull-Case)'!AA25-'IS (Base-Case)'!AA25</f>
        <v>16.725751521219763</v>
      </c>
      <c r="AB25" s="51">
        <f>'IS (Bull-Case)'!AB25-'IS (Base-Case)'!AB25</f>
        <v>60.373918102949119</v>
      </c>
      <c r="AC25" s="50">
        <f>'IS (Bull-Case)'!AC25-'IS (Base-Case)'!AC25</f>
        <v>44.0806875104131</v>
      </c>
      <c r="AD25" s="50">
        <f>'IS (Bull-Case)'!AD25-'IS (Base-Case)'!AD25</f>
        <v>38.258806407616134</v>
      </c>
      <c r="AE25" s="50">
        <f>'IS (Bull-Case)'!AE25-'IS (Base-Case)'!AE25</f>
        <v>48.653869472136194</v>
      </c>
      <c r="AF25" s="103">
        <f>'IS (Bull-Case)'!AF25-'IS (Base-Case)'!AF25</f>
        <v>44.722997992867931</v>
      </c>
      <c r="AG25" s="171">
        <f>'IS (Bull-Case)'!AG25-'IS (Base-Case)'!AG25</f>
        <v>175.71636138302711</v>
      </c>
      <c r="AH25" s="103">
        <f>'IS (Bull-Case)'!AH25-'IS (Base-Case)'!AH25</f>
        <v>80.739369910743108</v>
      </c>
      <c r="AI25" s="103">
        <f>'IS (Bull-Case)'!AI25-'IS (Base-Case)'!AI25</f>
        <v>70.944519972435046</v>
      </c>
      <c r="AJ25" s="103">
        <f>'IS (Bull-Case)'!AJ25-'IS (Base-Case)'!AJ25</f>
        <v>88.659932814213107</v>
      </c>
      <c r="AK25" s="103">
        <f>'IS (Bull-Case)'!AK25-'IS (Base-Case)'!AK25</f>
        <v>92.206374619366898</v>
      </c>
      <c r="AL25" s="51">
        <f>'IS (Bull-Case)'!AL25-'IS (Base-Case)'!AL25</f>
        <v>332.55019731676202</v>
      </c>
      <c r="AM25" s="103">
        <f>'IS (Bull-Case)'!AM25-'IS (Base-Case)'!AM25</f>
        <v>108.71916349528328</v>
      </c>
      <c r="AN25" s="103">
        <f>'IS (Bull-Case)'!AN25-'IS (Base-Case)'!AN25</f>
        <v>98.04594534296848</v>
      </c>
      <c r="AO25" s="103">
        <f>'IS (Bull-Case)'!AO25-'IS (Base-Case)'!AO25</f>
        <v>117.08933119473022</v>
      </c>
      <c r="AP25" s="103">
        <f>'IS (Bull-Case)'!AP25-'IS (Base-Case)'!AP25</f>
        <v>109.78053603874241</v>
      </c>
      <c r="AQ25" s="51">
        <f>'IS (Bull-Case)'!AQ25-'IS (Base-Case)'!AQ25</f>
        <v>433.63497607170939</v>
      </c>
      <c r="AR25" s="103">
        <f>'IS (Bull-Case)'!AR25-'IS (Base-Case)'!AR25</f>
        <v>115.83817593768617</v>
      </c>
      <c r="AS25" s="103">
        <f>'IS (Bull-Case)'!AS25-'IS (Base-Case)'!AS25</f>
        <v>104.36859127536468</v>
      </c>
      <c r="AT25" s="103">
        <f>'IS (Bull-Case)'!AT25-'IS (Base-Case)'!AT25</f>
        <v>124.52137957719196</v>
      </c>
      <c r="AU25" s="103">
        <f>'IS (Bull-Case)'!AU25-'IS (Base-Case)'!AU25</f>
        <v>116.70070893459229</v>
      </c>
      <c r="AV25" s="51">
        <f>'IS (Bull-Case)'!AV25-'IS (Base-Case)'!AV25</f>
        <v>461.42885572483465</v>
      </c>
    </row>
    <row r="26" spans="1:48" ht="16.2" x14ac:dyDescent="0.45">
      <c r="A26" s="23"/>
      <c r="B26" s="210" t="s">
        <v>40</v>
      </c>
      <c r="C26" s="201"/>
      <c r="D26" s="104">
        <f>'IS (Bull-Case)'!D26-'IS (Base-Case)'!D26</f>
        <v>0</v>
      </c>
      <c r="E26" s="104">
        <f>'IS (Bull-Case)'!E26-'IS (Base-Case)'!E26</f>
        <v>0</v>
      </c>
      <c r="F26" s="104">
        <f>'IS (Bull-Case)'!F26-'IS (Base-Case)'!F26</f>
        <v>0</v>
      </c>
      <c r="G26" s="104">
        <f>'IS (Bull-Case)'!G26-'IS (Base-Case)'!G26</f>
        <v>0</v>
      </c>
      <c r="H26" s="173">
        <f>'IS (Bull-Case)'!H26-'IS (Base-Case)'!H26</f>
        <v>0</v>
      </c>
      <c r="I26" s="104">
        <f>'IS (Bull-Case)'!I26-'IS (Base-Case)'!I26</f>
        <v>0</v>
      </c>
      <c r="J26" s="104">
        <f>'IS (Bull-Case)'!J26-'IS (Base-Case)'!J26</f>
        <v>0</v>
      </c>
      <c r="K26" s="104">
        <f>'IS (Bull-Case)'!K26-'IS (Base-Case)'!K26</f>
        <v>0</v>
      </c>
      <c r="L26" s="104">
        <f>'IS (Bull-Case)'!L26-'IS (Base-Case)'!L26</f>
        <v>0</v>
      </c>
      <c r="M26" s="173">
        <f>'IS (Bull-Case)'!M26-'IS (Base-Case)'!M26</f>
        <v>0</v>
      </c>
      <c r="N26" s="104">
        <f>'IS (Bull-Case)'!N26-'IS (Base-Case)'!N26</f>
        <v>0</v>
      </c>
      <c r="O26" s="104">
        <f>'IS (Bull-Case)'!O26-'IS (Base-Case)'!O26</f>
        <v>0</v>
      </c>
      <c r="P26" s="104">
        <f>'IS (Bull-Case)'!P26-'IS (Base-Case)'!P26</f>
        <v>0</v>
      </c>
      <c r="Q26" s="104">
        <f>'IS (Bull-Case)'!Q26-'IS (Base-Case)'!Q26</f>
        <v>0</v>
      </c>
      <c r="R26" s="173">
        <f>'IS (Bull-Case)'!R26-'IS (Base-Case)'!R26</f>
        <v>0</v>
      </c>
      <c r="S26" s="104">
        <f>'IS (Bull-Case)'!S26-'IS (Base-Case)'!S26</f>
        <v>0</v>
      </c>
      <c r="T26" s="104">
        <f>'IS (Bull-Case)'!T26-'IS (Base-Case)'!T26</f>
        <v>0</v>
      </c>
      <c r="U26" s="104">
        <f>'IS (Bull-Case)'!U26-'IS (Base-Case)'!U26</f>
        <v>0</v>
      </c>
      <c r="V26" s="104">
        <f>'IS (Bull-Case)'!V26-'IS (Base-Case)'!V26</f>
        <v>0</v>
      </c>
      <c r="W26" s="173">
        <f>'IS (Bull-Case)'!W26-'IS (Base-Case)'!W26</f>
        <v>0</v>
      </c>
      <c r="X26" s="104">
        <f>'IS (Bull-Case)'!X26-'IS (Base-Case)'!X26</f>
        <v>0</v>
      </c>
      <c r="Y26" s="104">
        <f>'IS (Bull-Case)'!Y26-'IS (Base-Case)'!Y26</f>
        <v>0</v>
      </c>
      <c r="Z26" s="104">
        <f>'IS (Bull-Case)'!Z26-'IS (Base-Case)'!Z26</f>
        <v>0</v>
      </c>
      <c r="AA26" s="104">
        <f>'IS (Bull-Case)'!AA26-'IS (Base-Case)'!AA26</f>
        <v>0</v>
      </c>
      <c r="AB26" s="173">
        <f>'IS (Bull-Case)'!AB26-'IS (Base-Case)'!AB26</f>
        <v>0</v>
      </c>
      <c r="AC26" s="104">
        <f>'IS (Bull-Case)'!AC26-'IS (Base-Case)'!AC26</f>
        <v>0</v>
      </c>
      <c r="AD26" s="104">
        <f>'IS (Bull-Case)'!AD26-'IS (Base-Case)'!AD26</f>
        <v>0</v>
      </c>
      <c r="AE26" s="104">
        <f>'IS (Bull-Case)'!AE26-'IS (Base-Case)'!AE26</f>
        <v>0</v>
      </c>
      <c r="AF26" s="104">
        <f>'IS (Bull-Case)'!AF26-'IS (Base-Case)'!AF26</f>
        <v>0</v>
      </c>
      <c r="AG26" s="173">
        <f>'IS (Bull-Case)'!AG26-'IS (Base-Case)'!AG26</f>
        <v>0</v>
      </c>
      <c r="AH26" s="104">
        <f>'IS (Bull-Case)'!AH26-'IS (Base-Case)'!AH26</f>
        <v>0</v>
      </c>
      <c r="AI26" s="104">
        <f>'IS (Bull-Case)'!AI26-'IS (Base-Case)'!AI26</f>
        <v>0</v>
      </c>
      <c r="AJ26" s="104">
        <f>'IS (Bull-Case)'!AJ26-'IS (Base-Case)'!AJ26</f>
        <v>0</v>
      </c>
      <c r="AK26" s="104">
        <f>'IS (Bull-Case)'!AK26-'IS (Base-Case)'!AK26</f>
        <v>0</v>
      </c>
      <c r="AL26" s="53">
        <f>'IS (Bull-Case)'!AL26-'IS (Base-Case)'!AL26</f>
        <v>0</v>
      </c>
      <c r="AM26" s="104">
        <f>'IS (Bull-Case)'!AM26-'IS (Base-Case)'!AM26</f>
        <v>0</v>
      </c>
      <c r="AN26" s="104">
        <f>'IS (Bull-Case)'!AN26-'IS (Base-Case)'!AN26</f>
        <v>0</v>
      </c>
      <c r="AO26" s="104">
        <f>'IS (Bull-Case)'!AO26-'IS (Base-Case)'!AO26</f>
        <v>0</v>
      </c>
      <c r="AP26" s="104">
        <f>'IS (Bull-Case)'!AP26-'IS (Base-Case)'!AP26</f>
        <v>0</v>
      </c>
      <c r="AQ26" s="53">
        <f>'IS (Bull-Case)'!AQ26-'IS (Base-Case)'!AQ26</f>
        <v>0</v>
      </c>
      <c r="AR26" s="104">
        <f>'IS (Bull-Case)'!AR26-'IS (Base-Case)'!AR26</f>
        <v>0</v>
      </c>
      <c r="AS26" s="104">
        <f>'IS (Bull-Case)'!AS26-'IS (Base-Case)'!AS26</f>
        <v>0</v>
      </c>
      <c r="AT26" s="104">
        <f>'IS (Bull-Case)'!AT26-'IS (Base-Case)'!AT26</f>
        <v>0</v>
      </c>
      <c r="AU26" s="104">
        <f>'IS (Bull-Case)'!AU26-'IS (Base-Case)'!AU26</f>
        <v>0</v>
      </c>
      <c r="AV26" s="53">
        <f>'IS (Bull-Case)'!AV26-'IS (Base-Case)'!AV26</f>
        <v>0</v>
      </c>
    </row>
    <row r="27" spans="1:48" s="8" customFormat="1" x14ac:dyDescent="0.3">
      <c r="A27" s="20"/>
      <c r="B27" s="209" t="s">
        <v>16</v>
      </c>
      <c r="C27" s="202"/>
      <c r="D27" s="103">
        <f>'IS (Bull-Case)'!D27-'IS (Base-Case)'!D27</f>
        <v>0</v>
      </c>
      <c r="E27" s="103">
        <f>'IS (Bull-Case)'!E27-'IS (Base-Case)'!E27</f>
        <v>0</v>
      </c>
      <c r="F27" s="103">
        <f>'IS (Bull-Case)'!F27-'IS (Base-Case)'!F27</f>
        <v>0</v>
      </c>
      <c r="G27" s="103">
        <f>'IS (Bull-Case)'!G27-'IS (Base-Case)'!G27</f>
        <v>0</v>
      </c>
      <c r="H27" s="171">
        <f>'IS (Bull-Case)'!H27-'IS (Base-Case)'!H27</f>
        <v>0</v>
      </c>
      <c r="I27" s="103">
        <f>'IS (Bull-Case)'!I27-'IS (Base-Case)'!I27</f>
        <v>0</v>
      </c>
      <c r="J27" s="103">
        <f>'IS (Bull-Case)'!J27-'IS (Base-Case)'!J27</f>
        <v>0</v>
      </c>
      <c r="K27" s="103">
        <f>'IS (Bull-Case)'!K27-'IS (Base-Case)'!K27</f>
        <v>0</v>
      </c>
      <c r="L27" s="50">
        <f>'IS (Bull-Case)'!L27-'IS (Base-Case)'!L27</f>
        <v>0</v>
      </c>
      <c r="M27" s="51">
        <f>'IS (Bull-Case)'!M27-'IS (Base-Case)'!M27</f>
        <v>0</v>
      </c>
      <c r="N27" s="50">
        <f>'IS (Bull-Case)'!N27-'IS (Base-Case)'!N27</f>
        <v>0</v>
      </c>
      <c r="O27" s="103">
        <f>'IS (Bull-Case)'!O27-'IS (Base-Case)'!O27</f>
        <v>0</v>
      </c>
      <c r="P27" s="103">
        <f>'IS (Bull-Case)'!P27-'IS (Base-Case)'!P27</f>
        <v>0</v>
      </c>
      <c r="Q27" s="103">
        <f>'IS (Bull-Case)'!Q27-'IS (Base-Case)'!Q27</f>
        <v>0</v>
      </c>
      <c r="R27" s="171">
        <f>'IS (Bull-Case)'!R27-'IS (Base-Case)'!R27</f>
        <v>0</v>
      </c>
      <c r="S27" s="50">
        <f>'IS (Bull-Case)'!S27-'IS (Base-Case)'!S27</f>
        <v>0</v>
      </c>
      <c r="T27" s="50">
        <f>'IS (Bull-Case)'!T27-'IS (Base-Case)'!T27</f>
        <v>0</v>
      </c>
      <c r="U27" s="50">
        <f>'IS (Bull-Case)'!U27-'IS (Base-Case)'!U27</f>
        <v>0</v>
      </c>
      <c r="V27" s="50">
        <f>'IS (Bull-Case)'!V27-'IS (Base-Case)'!V27</f>
        <v>0</v>
      </c>
      <c r="W27" s="171">
        <f>'IS (Bull-Case)'!W27-'IS (Base-Case)'!W27</f>
        <v>0</v>
      </c>
      <c r="X27" s="50">
        <f>'IS (Bull-Case)'!X27-'IS (Base-Case)'!X27</f>
        <v>13.816893220529209</v>
      </c>
      <c r="Y27" s="50">
        <f>'IS (Bull-Case)'!Y27-'IS (Base-Case)'!Y27</f>
        <v>12.747147318381849</v>
      </c>
      <c r="Z27" s="50">
        <f>'IS (Bull-Case)'!Z27-'IS (Base-Case)'!Z27</f>
        <v>17.084126042816024</v>
      </c>
      <c r="AA27" s="50">
        <f>'IS (Bull-Case)'!AA27-'IS (Base-Case)'!AA27</f>
        <v>16.725751521219763</v>
      </c>
      <c r="AB27" s="51">
        <f>'IS (Bull-Case)'!AB27-'IS (Base-Case)'!AB27</f>
        <v>60.373918102949119</v>
      </c>
      <c r="AC27" s="50">
        <f>'IS (Bull-Case)'!AC27-'IS (Base-Case)'!AC27</f>
        <v>44.0806875104131</v>
      </c>
      <c r="AD27" s="50">
        <f>'IS (Bull-Case)'!AD27-'IS (Base-Case)'!AD27</f>
        <v>38.258806407616134</v>
      </c>
      <c r="AE27" s="50">
        <f>'IS (Bull-Case)'!AE27-'IS (Base-Case)'!AE27</f>
        <v>48.653869472136194</v>
      </c>
      <c r="AF27" s="50">
        <f>'IS (Bull-Case)'!AF27-'IS (Base-Case)'!AF27</f>
        <v>44.722997992867931</v>
      </c>
      <c r="AG27" s="51">
        <f>'IS (Bull-Case)'!AG27-'IS (Base-Case)'!AG27</f>
        <v>175.71636138302711</v>
      </c>
      <c r="AH27" s="50">
        <f>'IS (Bull-Case)'!AH27-'IS (Base-Case)'!AH27</f>
        <v>80.739369910743108</v>
      </c>
      <c r="AI27" s="50">
        <f>'IS (Bull-Case)'!AI27-'IS (Base-Case)'!AI27</f>
        <v>70.944519972435046</v>
      </c>
      <c r="AJ27" s="50">
        <f>'IS (Bull-Case)'!AJ27-'IS (Base-Case)'!AJ27</f>
        <v>88.659932814213107</v>
      </c>
      <c r="AK27" s="50">
        <f>'IS (Bull-Case)'!AK27-'IS (Base-Case)'!AK27</f>
        <v>92.206374619366898</v>
      </c>
      <c r="AL27" s="51">
        <f>'IS (Bull-Case)'!AL27-'IS (Base-Case)'!AL27</f>
        <v>332.55019731676202</v>
      </c>
      <c r="AM27" s="50">
        <f>'IS (Bull-Case)'!AM27-'IS (Base-Case)'!AM27</f>
        <v>108.71916349528328</v>
      </c>
      <c r="AN27" s="50">
        <f>'IS (Bull-Case)'!AN27-'IS (Base-Case)'!AN27</f>
        <v>98.04594534296848</v>
      </c>
      <c r="AO27" s="50">
        <f>'IS (Bull-Case)'!AO27-'IS (Base-Case)'!AO27</f>
        <v>117.08933119473022</v>
      </c>
      <c r="AP27" s="50">
        <f>'IS (Bull-Case)'!AP27-'IS (Base-Case)'!AP27</f>
        <v>109.78053603874241</v>
      </c>
      <c r="AQ27" s="51">
        <f>'IS (Bull-Case)'!AQ27-'IS (Base-Case)'!AQ27</f>
        <v>433.63497607170939</v>
      </c>
      <c r="AR27" s="50">
        <f>'IS (Bull-Case)'!AR27-'IS (Base-Case)'!AR27</f>
        <v>115.83817593768617</v>
      </c>
      <c r="AS27" s="50">
        <f>'IS (Bull-Case)'!AS27-'IS (Base-Case)'!AS27</f>
        <v>104.36859127536468</v>
      </c>
      <c r="AT27" s="50">
        <f>'IS (Bull-Case)'!AT27-'IS (Base-Case)'!AT27</f>
        <v>124.52137957719196</v>
      </c>
      <c r="AU27" s="50">
        <f>'IS (Bull-Case)'!AU27-'IS (Base-Case)'!AU27</f>
        <v>116.70070893459206</v>
      </c>
      <c r="AV27" s="51">
        <f>'IS (Bull-Case)'!AV27-'IS (Base-Case)'!AV27</f>
        <v>461.42885572483465</v>
      </c>
    </row>
    <row r="28" spans="1:48" s="8" customFormat="1" ht="16.2" x14ac:dyDescent="0.45">
      <c r="A28" s="20"/>
      <c r="B28" s="87" t="s">
        <v>72</v>
      </c>
      <c r="C28" s="84"/>
      <c r="D28" s="109">
        <f>'IS (Bull-Case)'!D28-'IS (Base-Case)'!D28</f>
        <v>0</v>
      </c>
      <c r="E28" s="109">
        <f>'IS (Bull-Case)'!E28-'IS (Base-Case)'!E28</f>
        <v>0</v>
      </c>
      <c r="F28" s="109">
        <f>'IS (Bull-Case)'!F28-'IS (Base-Case)'!F28</f>
        <v>0</v>
      </c>
      <c r="G28" s="109">
        <f>'IS (Bull-Case)'!G28-'IS (Base-Case)'!G28</f>
        <v>0</v>
      </c>
      <c r="H28" s="178">
        <f>'IS (Bull-Case)'!H28-'IS (Base-Case)'!H28</f>
        <v>0</v>
      </c>
      <c r="I28" s="109">
        <f>'IS (Bull-Case)'!I28-'IS (Base-Case)'!I28</f>
        <v>0</v>
      </c>
      <c r="J28" s="109">
        <f>'IS (Bull-Case)'!J28-'IS (Base-Case)'!J28</f>
        <v>0</v>
      </c>
      <c r="K28" s="109">
        <f>'IS (Bull-Case)'!K28-'IS (Base-Case)'!K28</f>
        <v>0</v>
      </c>
      <c r="L28" s="91">
        <f>'IS (Bull-Case)'!L28-'IS (Base-Case)'!L28</f>
        <v>0</v>
      </c>
      <c r="M28" s="92">
        <f>'IS (Bull-Case)'!M28-'IS (Base-Case)'!M28</f>
        <v>0</v>
      </c>
      <c r="N28" s="109">
        <f>'IS (Bull-Case)'!N28-'IS (Base-Case)'!N28</f>
        <v>0</v>
      </c>
      <c r="O28" s="109">
        <f>'IS (Bull-Case)'!O28-'IS (Base-Case)'!O28</f>
        <v>0</v>
      </c>
      <c r="P28" s="109">
        <f>'IS (Bull-Case)'!P28-'IS (Base-Case)'!P28</f>
        <v>0</v>
      </c>
      <c r="Q28" s="109">
        <f>'IS (Bull-Case)'!Q28-'IS (Base-Case)'!Q28</f>
        <v>0</v>
      </c>
      <c r="R28" s="178">
        <f>'IS (Bull-Case)'!R28-'IS (Base-Case)'!R28</f>
        <v>0</v>
      </c>
      <c r="S28" s="91">
        <f>'IS (Bull-Case)'!S28-'IS (Base-Case)'!S28</f>
        <v>0</v>
      </c>
      <c r="T28" s="91">
        <f>'IS (Bull-Case)'!T28-'IS (Base-Case)'!T28</f>
        <v>0</v>
      </c>
      <c r="U28" s="91">
        <f>'IS (Bull-Case)'!U28-'IS (Base-Case)'!U28</f>
        <v>0</v>
      </c>
      <c r="V28" s="91">
        <f>'IS (Bull-Case)'!V28-'IS (Base-Case)'!V28</f>
        <v>0</v>
      </c>
      <c r="W28" s="178">
        <f>'IS (Bull-Case)'!W28-'IS (Base-Case)'!W28</f>
        <v>0</v>
      </c>
      <c r="X28" s="91">
        <f>'IS (Bull-Case)'!X28-'IS (Base-Case)'!X28</f>
        <v>0</v>
      </c>
      <c r="Y28" s="91">
        <f>'IS (Bull-Case)'!Y28-'IS (Base-Case)'!Y28</f>
        <v>0</v>
      </c>
      <c r="Z28" s="91">
        <f>'IS (Bull-Case)'!Z28-'IS (Base-Case)'!Z28</f>
        <v>0</v>
      </c>
      <c r="AA28" s="91">
        <f>'IS (Bull-Case)'!AA28-'IS (Base-Case)'!AA28</f>
        <v>0</v>
      </c>
      <c r="AB28" s="92">
        <f>'IS (Bull-Case)'!AB28-'IS (Base-Case)'!AB28</f>
        <v>0</v>
      </c>
      <c r="AC28" s="91">
        <f>'IS (Bull-Case)'!AC28-'IS (Base-Case)'!AC28</f>
        <v>0</v>
      </c>
      <c r="AD28" s="91">
        <f>'IS (Bull-Case)'!AD28-'IS (Base-Case)'!AD28</f>
        <v>0</v>
      </c>
      <c r="AE28" s="91">
        <f>'IS (Bull-Case)'!AE28-'IS (Base-Case)'!AE28</f>
        <v>0</v>
      </c>
      <c r="AF28" s="91">
        <f>'IS (Bull-Case)'!AF28-'IS (Base-Case)'!AF28</f>
        <v>0</v>
      </c>
      <c r="AG28" s="92">
        <f>'IS (Bull-Case)'!AG28-'IS (Base-Case)'!AG28</f>
        <v>0</v>
      </c>
      <c r="AH28" s="91">
        <f>'IS (Bull-Case)'!AH28-'IS (Base-Case)'!AH28</f>
        <v>0</v>
      </c>
      <c r="AI28" s="91">
        <f>'IS (Bull-Case)'!AI28-'IS (Base-Case)'!AI28</f>
        <v>0</v>
      </c>
      <c r="AJ28" s="91">
        <f>'IS (Bull-Case)'!AJ28-'IS (Base-Case)'!AJ28</f>
        <v>0</v>
      </c>
      <c r="AK28" s="91">
        <f>'IS (Bull-Case)'!AK28-'IS (Base-Case)'!AK28</f>
        <v>0</v>
      </c>
      <c r="AL28" s="92">
        <f>'IS (Bull-Case)'!AL28-'IS (Base-Case)'!AL28</f>
        <v>0</v>
      </c>
      <c r="AM28" s="91">
        <f>'IS (Bull-Case)'!AM28-'IS (Base-Case)'!AM28</f>
        <v>0</v>
      </c>
      <c r="AN28" s="91">
        <f>'IS (Bull-Case)'!AN28-'IS (Base-Case)'!AN28</f>
        <v>0</v>
      </c>
      <c r="AO28" s="91">
        <f>'IS (Bull-Case)'!AO28-'IS (Base-Case)'!AO28</f>
        <v>0</v>
      </c>
      <c r="AP28" s="91">
        <f>'IS (Bull-Case)'!AP28-'IS (Base-Case)'!AP28</f>
        <v>0</v>
      </c>
      <c r="AQ28" s="92">
        <f>'IS (Bull-Case)'!AQ28-'IS (Base-Case)'!AQ28</f>
        <v>0</v>
      </c>
      <c r="AR28" s="91">
        <f>'IS (Bull-Case)'!AR28-'IS (Base-Case)'!AR28</f>
        <v>0</v>
      </c>
      <c r="AS28" s="91">
        <f>'IS (Bull-Case)'!AS28-'IS (Base-Case)'!AS28</f>
        <v>0</v>
      </c>
      <c r="AT28" s="91">
        <f>'IS (Bull-Case)'!AT28-'IS (Base-Case)'!AT28</f>
        <v>0</v>
      </c>
      <c r="AU28" s="91">
        <f>'IS (Bull-Case)'!AU28-'IS (Base-Case)'!AU28</f>
        <v>0</v>
      </c>
      <c r="AV28" s="92">
        <f>'IS (Bull-Case)'!AV28-'IS (Base-Case)'!AV28</f>
        <v>0</v>
      </c>
    </row>
    <row r="29" spans="1:48" s="8" customFormat="1" x14ac:dyDescent="0.3">
      <c r="A29" s="20"/>
      <c r="B29" s="85" t="s">
        <v>73</v>
      </c>
      <c r="C29" s="86"/>
      <c r="D29" s="108">
        <f>'IS (Bull-Case)'!D29-'IS (Base-Case)'!D29</f>
        <v>0</v>
      </c>
      <c r="E29" s="108">
        <f>'IS (Bull-Case)'!E29-'IS (Base-Case)'!E29</f>
        <v>0</v>
      </c>
      <c r="F29" s="108">
        <f>'IS (Bull-Case)'!F29-'IS (Base-Case)'!F29</f>
        <v>0</v>
      </c>
      <c r="G29" s="108">
        <f>'IS (Bull-Case)'!G29-'IS (Base-Case)'!G29</f>
        <v>0</v>
      </c>
      <c r="H29" s="177">
        <f>'IS (Bull-Case)'!H29-'IS (Base-Case)'!H29</f>
        <v>0</v>
      </c>
      <c r="I29" s="108">
        <f>'IS (Bull-Case)'!I29-'IS (Base-Case)'!I29</f>
        <v>0</v>
      </c>
      <c r="J29" s="108">
        <f>'IS (Bull-Case)'!J29-'IS (Base-Case)'!J29</f>
        <v>0</v>
      </c>
      <c r="K29" s="108">
        <f>'IS (Bull-Case)'!K29-'IS (Base-Case)'!K29</f>
        <v>0</v>
      </c>
      <c r="L29" s="80">
        <f>'IS (Bull-Case)'!L29-'IS (Base-Case)'!L29</f>
        <v>0</v>
      </c>
      <c r="M29" s="81">
        <f>'IS (Bull-Case)'!M29-'IS (Base-Case)'!M29</f>
        <v>0</v>
      </c>
      <c r="N29" s="108">
        <f>'IS (Bull-Case)'!N29-'IS (Base-Case)'!N29</f>
        <v>0</v>
      </c>
      <c r="O29" s="108">
        <f>'IS (Bull-Case)'!O29-'IS (Base-Case)'!O29</f>
        <v>0</v>
      </c>
      <c r="P29" s="108">
        <f>'IS (Bull-Case)'!P29-'IS (Base-Case)'!P29</f>
        <v>0</v>
      </c>
      <c r="Q29" s="108">
        <f>'IS (Bull-Case)'!Q29-'IS (Base-Case)'!Q29</f>
        <v>0</v>
      </c>
      <c r="R29" s="177">
        <f>'IS (Bull-Case)'!R29-'IS (Base-Case)'!R29</f>
        <v>0</v>
      </c>
      <c r="S29" s="80">
        <f>'IS (Bull-Case)'!S29-'IS (Base-Case)'!S29</f>
        <v>0</v>
      </c>
      <c r="T29" s="80">
        <f>'IS (Bull-Case)'!T29-'IS (Base-Case)'!T29</f>
        <v>0</v>
      </c>
      <c r="U29" s="80">
        <f>'IS (Bull-Case)'!U29-'IS (Base-Case)'!U29</f>
        <v>0</v>
      </c>
      <c r="V29" s="80">
        <f>'IS (Bull-Case)'!V29-'IS (Base-Case)'!V29</f>
        <v>0</v>
      </c>
      <c r="W29" s="177">
        <f>'IS (Bull-Case)'!W29-'IS (Base-Case)'!W29</f>
        <v>0</v>
      </c>
      <c r="X29" s="80">
        <f>'IS (Bull-Case)'!X29-'IS (Base-Case)'!X29</f>
        <v>13.816893220529209</v>
      </c>
      <c r="Y29" s="80">
        <f>'IS (Bull-Case)'!Y29-'IS (Base-Case)'!Y29</f>
        <v>12.747147318381849</v>
      </c>
      <c r="Z29" s="80">
        <f>'IS (Bull-Case)'!Z29-'IS (Base-Case)'!Z29</f>
        <v>17.084126042816024</v>
      </c>
      <c r="AA29" s="80">
        <f>'IS (Bull-Case)'!AA29-'IS (Base-Case)'!AA29</f>
        <v>16.725751521219763</v>
      </c>
      <c r="AB29" s="81">
        <f>'IS (Bull-Case)'!AB29-'IS (Base-Case)'!AB29</f>
        <v>60.373918102949119</v>
      </c>
      <c r="AC29" s="80">
        <f>'IS (Bull-Case)'!AC29-'IS (Base-Case)'!AC29</f>
        <v>44.0806875104131</v>
      </c>
      <c r="AD29" s="80">
        <f>'IS (Bull-Case)'!AD29-'IS (Base-Case)'!AD29</f>
        <v>38.258806407616134</v>
      </c>
      <c r="AE29" s="80">
        <f>'IS (Bull-Case)'!AE29-'IS (Base-Case)'!AE29</f>
        <v>48.653869472136194</v>
      </c>
      <c r="AF29" s="80">
        <f>'IS (Bull-Case)'!AF29-'IS (Base-Case)'!AF29</f>
        <v>44.722997992867931</v>
      </c>
      <c r="AG29" s="81">
        <f>'IS (Bull-Case)'!AG29-'IS (Base-Case)'!AG29</f>
        <v>175.71636138302711</v>
      </c>
      <c r="AH29" s="80">
        <f>'IS (Bull-Case)'!AH29-'IS (Base-Case)'!AH29</f>
        <v>80.739369910743108</v>
      </c>
      <c r="AI29" s="80">
        <f>'IS (Bull-Case)'!AI29-'IS (Base-Case)'!AI29</f>
        <v>70.944519972435046</v>
      </c>
      <c r="AJ29" s="80">
        <f>'IS (Bull-Case)'!AJ29-'IS (Base-Case)'!AJ29</f>
        <v>88.659932814213107</v>
      </c>
      <c r="AK29" s="80">
        <f>'IS (Bull-Case)'!AK29-'IS (Base-Case)'!AK29</f>
        <v>92.20637461936667</v>
      </c>
      <c r="AL29" s="81">
        <f>'IS (Bull-Case)'!AL29-'IS (Base-Case)'!AL29</f>
        <v>332.55019731676202</v>
      </c>
      <c r="AM29" s="80">
        <f>'IS (Bull-Case)'!AM29-'IS (Base-Case)'!AM29</f>
        <v>108.71916349528396</v>
      </c>
      <c r="AN29" s="80">
        <f>'IS (Bull-Case)'!AN29-'IS (Base-Case)'!AN29</f>
        <v>98.04594534296848</v>
      </c>
      <c r="AO29" s="80">
        <f>'IS (Bull-Case)'!AO29-'IS (Base-Case)'!AO29</f>
        <v>117.08933119473022</v>
      </c>
      <c r="AP29" s="80">
        <f>'IS (Bull-Case)'!AP29-'IS (Base-Case)'!AP29</f>
        <v>109.78053603874332</v>
      </c>
      <c r="AQ29" s="81">
        <f>'IS (Bull-Case)'!AQ29-'IS (Base-Case)'!AQ29</f>
        <v>433.63497607170939</v>
      </c>
      <c r="AR29" s="80">
        <f>'IS (Bull-Case)'!AR29-'IS (Base-Case)'!AR29</f>
        <v>115.83817593768617</v>
      </c>
      <c r="AS29" s="80">
        <f>'IS (Bull-Case)'!AS29-'IS (Base-Case)'!AS29</f>
        <v>104.36859127536468</v>
      </c>
      <c r="AT29" s="80">
        <f>'IS (Bull-Case)'!AT29-'IS (Base-Case)'!AT29</f>
        <v>124.52137957719196</v>
      </c>
      <c r="AU29" s="80">
        <f>'IS (Bull-Case)'!AU29-'IS (Base-Case)'!AU29</f>
        <v>116.70070893459206</v>
      </c>
      <c r="AV29" s="81">
        <f>'IS (Bull-Case)'!AV29-'IS (Base-Case)'!AV29</f>
        <v>461.42885572483465</v>
      </c>
    </row>
    <row r="30" spans="1:48" x14ac:dyDescent="0.3">
      <c r="B30" s="435" t="s">
        <v>0</v>
      </c>
      <c r="C30" s="436"/>
      <c r="D30" s="101">
        <f>'IS (Bull-Case)'!D30-'IS (Base-Case)'!D30</f>
        <v>0</v>
      </c>
      <c r="E30" s="101">
        <f>'IS (Bull-Case)'!E30-'IS (Base-Case)'!E30</f>
        <v>0</v>
      </c>
      <c r="F30" s="101">
        <f>'IS (Bull-Case)'!F30-'IS (Base-Case)'!F30</f>
        <v>0</v>
      </c>
      <c r="G30" s="101">
        <f>'IS (Bull-Case)'!G30-'IS (Base-Case)'!G30</f>
        <v>0</v>
      </c>
      <c r="H30" s="169">
        <f>'IS (Bull-Case)'!H30-'IS (Base-Case)'!H30</f>
        <v>0</v>
      </c>
      <c r="I30" s="101">
        <f>'IS (Bull-Case)'!I30-'IS (Base-Case)'!I30</f>
        <v>0</v>
      </c>
      <c r="J30" s="101">
        <f>'IS (Bull-Case)'!J30-'IS (Base-Case)'!J30</f>
        <v>0</v>
      </c>
      <c r="K30" s="101">
        <f>'IS (Bull-Case)'!K30-'IS (Base-Case)'!K30</f>
        <v>0</v>
      </c>
      <c r="L30" s="101">
        <f>'IS (Bull-Case)'!L30-'IS (Base-Case)'!L30</f>
        <v>0</v>
      </c>
      <c r="M30" s="17">
        <f>'IS (Bull-Case)'!M30-'IS (Base-Case)'!M30</f>
        <v>0</v>
      </c>
      <c r="N30" s="101">
        <f>'IS (Bull-Case)'!N30-'IS (Base-Case)'!N30</f>
        <v>0</v>
      </c>
      <c r="O30" s="101">
        <f>'IS (Bull-Case)'!O30-'IS (Base-Case)'!O30</f>
        <v>0</v>
      </c>
      <c r="P30" s="101">
        <f>'IS (Bull-Case)'!P30-'IS (Base-Case)'!P30</f>
        <v>0</v>
      </c>
      <c r="Q30" s="101">
        <f>'IS (Bull-Case)'!Q30-'IS (Base-Case)'!Q30</f>
        <v>0</v>
      </c>
      <c r="R30" s="169">
        <f>'IS (Bull-Case)'!R30-'IS (Base-Case)'!R30</f>
        <v>0</v>
      </c>
      <c r="S30" s="16">
        <f>'IS (Bull-Case)'!S30-'IS (Base-Case)'!S30</f>
        <v>0</v>
      </c>
      <c r="T30" s="16">
        <f>'IS (Bull-Case)'!T30-'IS (Base-Case)'!T30</f>
        <v>0</v>
      </c>
      <c r="U30" s="16">
        <f>'IS (Bull-Case)'!U30-'IS (Base-Case)'!U30</f>
        <v>0</v>
      </c>
      <c r="V30" s="16">
        <f>'IS (Bull-Case)'!V30-'IS (Base-Case)'!V30</f>
        <v>0</v>
      </c>
      <c r="W30" s="169">
        <f>'IS (Bull-Case)'!W30-'IS (Base-Case)'!W30</f>
        <v>0</v>
      </c>
      <c r="X30" s="16">
        <f>'IS (Bull-Case)'!X30-'IS (Base-Case)'!X30</f>
        <v>0</v>
      </c>
      <c r="Y30" s="16">
        <f>'IS (Bull-Case)'!Y30-'IS (Base-Case)'!Y30</f>
        <v>0</v>
      </c>
      <c r="Z30" s="16">
        <f>'IS (Bull-Case)'!Z30-'IS (Base-Case)'!Z30</f>
        <v>0</v>
      </c>
      <c r="AA30" s="16">
        <f>'IS (Bull-Case)'!AA30-'IS (Base-Case)'!AA30</f>
        <v>0</v>
      </c>
      <c r="AB30" s="17">
        <f>'IS (Bull-Case)'!AB30-'IS (Base-Case)'!AB30</f>
        <v>-1.2956187820236664E-3</v>
      </c>
      <c r="AC30" s="16">
        <f>'IS (Bull-Case)'!AC30-'IS (Base-Case)'!AC30</f>
        <v>0</v>
      </c>
      <c r="AD30" s="16">
        <f>'IS (Bull-Case)'!AD30-'IS (Base-Case)'!AD30</f>
        <v>0</v>
      </c>
      <c r="AE30" s="16">
        <f>'IS (Bull-Case)'!AE30-'IS (Base-Case)'!AE30</f>
        <v>1.1147730010861778E-2</v>
      </c>
      <c r="AF30" s="16">
        <f>'IS (Bull-Case)'!AF30-'IS (Base-Case)'!AF30</f>
        <v>2.2317755481708446E-2</v>
      </c>
      <c r="AG30" s="17">
        <f>'IS (Bull-Case)'!AG30-'IS (Base-Case)'!AG30</f>
        <v>9.2694864063105342E-3</v>
      </c>
      <c r="AH30" s="16">
        <f>'IS (Bull-Case)'!AH30-'IS (Base-Case)'!AH30</f>
        <v>6.1934419602266644E-2</v>
      </c>
      <c r="AI30" s="16">
        <f>'IS (Bull-Case)'!AI30-'IS (Base-Case)'!AI30</f>
        <v>0.1016303170511037</v>
      </c>
      <c r="AJ30" s="16">
        <f>'IS (Bull-Case)'!AJ30-'IS (Base-Case)'!AJ30</f>
        <v>14.341704339033413</v>
      </c>
      <c r="AK30" s="16">
        <f>'IS (Bull-Case)'!AK30-'IS (Base-Case)'!AK30</f>
        <v>28.610258509059804</v>
      </c>
      <c r="AL30" s="17">
        <f>'IS (Bull-Case)'!AL30-'IS (Base-Case)'!AL30</f>
        <v>11.233860361318648</v>
      </c>
      <c r="AM30" s="16">
        <f>'IS (Bull-Case)'!AM30-'IS (Base-Case)'!AM30</f>
        <v>28.762401269544171</v>
      </c>
      <c r="AN30" s="16">
        <f>'IS (Bull-Case)'!AN30-'IS (Base-Case)'!AN30</f>
        <v>28.914848315549534</v>
      </c>
      <c r="AO30" s="16">
        <f>'IS (Bull-Case)'!AO30-'IS (Base-Case)'!AO30</f>
        <v>29.067600255646994</v>
      </c>
      <c r="AP30" s="16">
        <f>'IS (Bull-Case)'!AP30-'IS (Base-Case)'!AP30</f>
        <v>29.220657699624553</v>
      </c>
      <c r="AQ30" s="17">
        <f>'IS (Bull-Case)'!AQ30-'IS (Base-Case)'!AQ30</f>
        <v>28.995994846922713</v>
      </c>
      <c r="AR30" s="16">
        <f>'IS (Bull-Case)'!AR30-'IS (Base-Case)'!AR30</f>
        <v>29.372160038030188</v>
      </c>
      <c r="AS30" s="16">
        <f>'IS (Bull-Case)'!AS30-'IS (Base-Case)'!AS30</f>
        <v>29.523965381112703</v>
      </c>
      <c r="AT30" s="16">
        <f>'IS (Bull-Case)'!AT30-'IS (Base-Case)'!AT30</f>
        <v>29.67607433488115</v>
      </c>
      <c r="AU30" s="16">
        <f>'IS (Bull-Case)'!AU30-'IS (Base-Case)'!AU30</f>
        <v>29.828487506557394</v>
      </c>
      <c r="AV30" s="17">
        <f>'IS (Bull-Case)'!AV30-'IS (Base-Case)'!AV30</f>
        <v>29.60475617363204</v>
      </c>
    </row>
    <row r="31" spans="1:48" ht="15.75" customHeight="1" x14ac:dyDescent="0.3">
      <c r="B31" s="435" t="s">
        <v>1</v>
      </c>
      <c r="C31" s="436"/>
      <c r="D31" s="101">
        <f>'IS (Bull-Case)'!D31-'IS (Base-Case)'!D31</f>
        <v>0</v>
      </c>
      <c r="E31" s="101">
        <f>'IS (Bull-Case)'!E31-'IS (Base-Case)'!E31</f>
        <v>0</v>
      </c>
      <c r="F31" s="101">
        <f>'IS (Bull-Case)'!F31-'IS (Base-Case)'!F31</f>
        <v>0</v>
      </c>
      <c r="G31" s="101">
        <f>'IS (Bull-Case)'!G31-'IS (Base-Case)'!G31</f>
        <v>0</v>
      </c>
      <c r="H31" s="169">
        <f>'IS (Bull-Case)'!H31-'IS (Base-Case)'!H31</f>
        <v>0</v>
      </c>
      <c r="I31" s="101">
        <f>'IS (Bull-Case)'!I31-'IS (Base-Case)'!I31</f>
        <v>0</v>
      </c>
      <c r="J31" s="101">
        <f>'IS (Bull-Case)'!J31-'IS (Base-Case)'!J31</f>
        <v>0</v>
      </c>
      <c r="K31" s="101">
        <f>'IS (Bull-Case)'!K31-'IS (Base-Case)'!K31</f>
        <v>0</v>
      </c>
      <c r="L31" s="101">
        <f>'IS (Bull-Case)'!L31-'IS (Base-Case)'!L31</f>
        <v>0</v>
      </c>
      <c r="M31" s="17">
        <f>'IS (Bull-Case)'!M31-'IS (Base-Case)'!M31</f>
        <v>0</v>
      </c>
      <c r="N31" s="101">
        <f>'IS (Bull-Case)'!N31-'IS (Base-Case)'!N31</f>
        <v>0</v>
      </c>
      <c r="O31" s="101">
        <f>'IS (Bull-Case)'!O31-'IS (Base-Case)'!O31</f>
        <v>0</v>
      </c>
      <c r="P31" s="101">
        <f>'IS (Bull-Case)'!P31-'IS (Base-Case)'!P31</f>
        <v>0</v>
      </c>
      <c r="Q31" s="101">
        <f>'IS (Bull-Case)'!Q31-'IS (Base-Case)'!Q31</f>
        <v>0</v>
      </c>
      <c r="R31" s="169">
        <f>'IS (Bull-Case)'!R31-'IS (Base-Case)'!R31</f>
        <v>0</v>
      </c>
      <c r="S31" s="16">
        <f>'IS (Bull-Case)'!S31-'IS (Base-Case)'!S31</f>
        <v>0</v>
      </c>
      <c r="T31" s="16">
        <f>'IS (Bull-Case)'!T31-'IS (Base-Case)'!T31</f>
        <v>0</v>
      </c>
      <c r="U31" s="16">
        <f>'IS (Bull-Case)'!U31-'IS (Base-Case)'!U31</f>
        <v>0</v>
      </c>
      <c r="V31" s="16">
        <f>'IS (Bull-Case)'!V31-'IS (Base-Case)'!V31</f>
        <v>0</v>
      </c>
      <c r="W31" s="169">
        <f>'IS (Bull-Case)'!W31-'IS (Base-Case)'!W31</f>
        <v>0</v>
      </c>
      <c r="X31" s="16">
        <f>'IS (Bull-Case)'!X31-'IS (Base-Case)'!X31</f>
        <v>0</v>
      </c>
      <c r="Y31" s="16">
        <f>'IS (Bull-Case)'!Y31-'IS (Base-Case)'!Y31</f>
        <v>0</v>
      </c>
      <c r="Z31" s="16">
        <f>'IS (Bull-Case)'!Z31-'IS (Base-Case)'!Z31</f>
        <v>0</v>
      </c>
      <c r="AA31" s="16">
        <f>'IS (Bull-Case)'!AA31-'IS (Base-Case)'!AA31</f>
        <v>0</v>
      </c>
      <c r="AB31" s="17">
        <f>'IS (Bull-Case)'!AB31-'IS (Base-Case)'!AB31</f>
        <v>-6.4800790801200492E-4</v>
      </c>
      <c r="AC31" s="16">
        <f>'IS (Bull-Case)'!AC31-'IS (Base-Case)'!AC31</f>
        <v>0</v>
      </c>
      <c r="AD31" s="16">
        <f>'IS (Bull-Case)'!AD31-'IS (Base-Case)'!AD31</f>
        <v>0</v>
      </c>
      <c r="AE31" s="16">
        <f>'IS (Bull-Case)'!AE31-'IS (Base-Case)'!AE31</f>
        <v>1.1147730010861778E-2</v>
      </c>
      <c r="AF31" s="16">
        <f>'IS (Bull-Case)'!AF31-'IS (Base-Case)'!AF31</f>
        <v>2.2306607751716001E-2</v>
      </c>
      <c r="AG31" s="17">
        <f>'IS (Bull-Case)'!AG31-'IS (Base-Case)'!AG31</f>
        <v>9.1268874095931096E-3</v>
      </c>
      <c r="AH31" s="16">
        <f>'IS (Bull-Case)'!AH31-'IS (Base-Case)'!AH31</f>
        <v>6.1900942969032258E-2</v>
      </c>
      <c r="AI31" s="16">
        <f>'IS (Bull-Case)'!AI31-'IS (Base-Case)'!AI31</f>
        <v>0.10153487252159721</v>
      </c>
      <c r="AJ31" s="16">
        <f>'IS (Bull-Case)'!AJ31-'IS (Base-Case)'!AJ31</f>
        <v>14.34150716874251</v>
      </c>
      <c r="AK31" s="16">
        <f>'IS (Bull-Case)'!AK31-'IS (Base-Case)'!AK31</f>
        <v>28.595719437259731</v>
      </c>
      <c r="AL31" s="17">
        <f>'IS (Bull-Case)'!AL31-'IS (Base-Case)'!AL31</f>
        <v>11.226619488957795</v>
      </c>
      <c r="AM31" s="16">
        <f>'IS (Bull-Case)'!AM31-'IS (Base-Case)'!AM31</f>
        <v>28.719237400163138</v>
      </c>
      <c r="AN31" s="16">
        <f>'IS (Bull-Case)'!AN31-'IS (Base-Case)'!AN31</f>
        <v>28.842878881029492</v>
      </c>
      <c r="AO31" s="16">
        <f>'IS (Bull-Case)'!AO31-'IS (Base-Case)'!AO31</f>
        <v>28.966644003376814</v>
      </c>
      <c r="AP31" s="16">
        <f>'IS (Bull-Case)'!AP31-'IS (Base-Case)'!AP31</f>
        <v>29.090532890846589</v>
      </c>
      <c r="AQ31" s="17">
        <f>'IS (Bull-Case)'!AQ31-'IS (Base-Case)'!AQ31</f>
        <v>28.908972085397409</v>
      </c>
      <c r="AR31" s="16">
        <f>'IS (Bull-Case)'!AR31-'IS (Base-Case)'!AR31</f>
        <v>29.212684446743879</v>
      </c>
      <c r="AS31" s="16">
        <f>'IS (Bull-Case)'!AS31-'IS (Base-Case)'!AS31</f>
        <v>29.334958154197011</v>
      </c>
      <c r="AT31" s="16">
        <f>'IS (Bull-Case)'!AT31-'IS (Base-Case)'!AT31</f>
        <v>29.457354135357491</v>
      </c>
      <c r="AU31" s="16">
        <f>'IS (Bull-Case)'!AU31-'IS (Base-Case)'!AU31</f>
        <v>29.579872512499378</v>
      </c>
      <c r="AV31" s="17">
        <f>'IS (Bull-Case)'!AV31-'IS (Base-Case)'!AV31</f>
        <v>29.400397179026641</v>
      </c>
    </row>
    <row r="32" spans="1:48" ht="15.75" customHeight="1" x14ac:dyDescent="0.3">
      <c r="B32" s="445" t="s">
        <v>6</v>
      </c>
      <c r="C32" s="446"/>
      <c r="D32" s="110">
        <f>'IS (Bull-Case)'!D32-'IS (Base-Case)'!D32</f>
        <v>0</v>
      </c>
      <c r="E32" s="110">
        <f>'IS (Bull-Case)'!E32-'IS (Base-Case)'!E32</f>
        <v>0</v>
      </c>
      <c r="F32" s="110">
        <f>'IS (Bull-Case)'!F32-'IS (Base-Case)'!F32</f>
        <v>0</v>
      </c>
      <c r="G32" s="110">
        <f>'IS (Bull-Case)'!G32-'IS (Base-Case)'!G32</f>
        <v>0</v>
      </c>
      <c r="H32" s="174">
        <f>'IS (Bull-Case)'!H32-'IS (Base-Case)'!H32</f>
        <v>0</v>
      </c>
      <c r="I32" s="110">
        <f>'IS (Bull-Case)'!I32-'IS (Base-Case)'!I32</f>
        <v>0</v>
      </c>
      <c r="J32" s="110">
        <f>'IS (Bull-Case)'!J32-'IS (Base-Case)'!J32</f>
        <v>0</v>
      </c>
      <c r="K32" s="110">
        <f>'IS (Bull-Case)'!K32-'IS (Base-Case)'!K32</f>
        <v>0</v>
      </c>
      <c r="L32" s="110">
        <f>'IS (Bull-Case)'!L32-'IS (Base-Case)'!L32</f>
        <v>0</v>
      </c>
      <c r="M32" s="25">
        <f>'IS (Bull-Case)'!M32-'IS (Base-Case)'!M32</f>
        <v>0</v>
      </c>
      <c r="N32" s="110">
        <f>'IS (Bull-Case)'!N32-'IS (Base-Case)'!N32</f>
        <v>0</v>
      </c>
      <c r="O32" s="110">
        <f>'IS (Bull-Case)'!O32-'IS (Base-Case)'!O32</f>
        <v>0</v>
      </c>
      <c r="P32" s="110">
        <f>'IS (Bull-Case)'!P32-'IS (Base-Case)'!P32</f>
        <v>0</v>
      </c>
      <c r="Q32" s="110">
        <f>'IS (Bull-Case)'!Q32-'IS (Base-Case)'!Q32</f>
        <v>0</v>
      </c>
      <c r="R32" s="174">
        <f>'IS (Bull-Case)'!R32-'IS (Base-Case)'!R32</f>
        <v>0</v>
      </c>
      <c r="S32" s="24">
        <f>'IS (Bull-Case)'!S32-'IS (Base-Case)'!S32</f>
        <v>0</v>
      </c>
      <c r="T32" s="24">
        <f>'IS (Bull-Case)'!T32-'IS (Base-Case)'!T32</f>
        <v>0</v>
      </c>
      <c r="U32" s="24">
        <f>'IS (Bull-Case)'!U32-'IS (Base-Case)'!U32</f>
        <v>0</v>
      </c>
      <c r="V32" s="24">
        <f>'IS (Bull-Case)'!V32-'IS (Base-Case)'!V32</f>
        <v>0</v>
      </c>
      <c r="W32" s="174">
        <f>'IS (Bull-Case)'!W32-'IS (Base-Case)'!W32</f>
        <v>0</v>
      </c>
      <c r="X32" s="24">
        <f>'IS (Bull-Case)'!X32-'IS (Base-Case)'!X32</f>
        <v>1.1998074114496826E-2</v>
      </c>
      <c r="Y32" s="24">
        <f>'IS (Bull-Case)'!Y32-'IS (Base-Case)'!Y32</f>
        <v>1.1047052614896469E-2</v>
      </c>
      <c r="Z32" s="24">
        <f>'IS (Bull-Case)'!Z32-'IS (Base-Case)'!Z32</f>
        <v>1.4776053771222042E-2</v>
      </c>
      <c r="AA32" s="24">
        <f>'IS (Bull-Case)'!AA32-'IS (Base-Case)'!AA32</f>
        <v>1.4437221348347129E-2</v>
      </c>
      <c r="AB32" s="25">
        <f>'IS (Bull-Case)'!AB32-'IS (Base-Case)'!AB32</f>
        <v>5.2258140814119169E-2</v>
      </c>
      <c r="AC32" s="24">
        <f>'IS (Bull-Case)'!AC32-'IS (Base-Case)'!AC32</f>
        <v>3.7973323782391932E-2</v>
      </c>
      <c r="AD32" s="24">
        <f>'IS (Bull-Case)'!AD32-'IS (Base-Case)'!AD32</f>
        <v>3.2892277700344752E-2</v>
      </c>
      <c r="AE32" s="24">
        <f>'IS (Bull-Case)'!AE32-'IS (Base-Case)'!AE32</f>
        <v>4.1768744720821704E-2</v>
      </c>
      <c r="AF32" s="24">
        <f>'IS (Bull-Case)'!AF32-'IS (Base-Case)'!AF32</f>
        <v>3.8337302079949565E-2</v>
      </c>
      <c r="AG32" s="25">
        <f>'IS (Bull-Case)'!AG32-'IS (Base-Case)'!AG32</f>
        <v>0.15097114830728486</v>
      </c>
      <c r="AH32" s="24">
        <f>'IS (Bull-Case)'!AH32-'IS (Base-Case)'!AH32</f>
        <v>6.9096103062878278E-2</v>
      </c>
      <c r="AI32" s="24">
        <f>'IS (Bull-Case)'!AI32-'IS (Base-Case)'!AI32</f>
        <v>6.0606622922747544E-2</v>
      </c>
      <c r="AJ32" s="24">
        <f>'IS (Bull-Case)'!AJ32-'IS (Base-Case)'!AJ32</f>
        <v>6.2112861422088272E-2</v>
      </c>
      <c r="AK32" s="24">
        <f>'IS (Bull-Case)'!AK32-'IS (Base-Case)'!AK32</f>
        <v>5.1909809203888324E-2</v>
      </c>
      <c r="AL32" s="25">
        <f>'IS (Bull-Case)'!AL32-'IS (Base-Case)'!AL32</f>
        <v>0.24609420070046539</v>
      </c>
      <c r="AM32" s="24">
        <f>'IS (Bull-Case)'!AM32-'IS (Base-Case)'!AM32</f>
        <v>6.4077256750091571E-2</v>
      </c>
      <c r="AN32" s="24">
        <f>'IS (Bull-Case)'!AN32-'IS (Base-Case)'!AN32</f>
        <v>6.018766339274495E-2</v>
      </c>
      <c r="AO32" s="24">
        <f>'IS (Bull-Case)'!AO32-'IS (Base-Case)'!AO32</f>
        <v>6.9385946851641789E-2</v>
      </c>
      <c r="AP32" s="24">
        <f>'IS (Bull-Case)'!AP32-'IS (Base-Case)'!AP32</f>
        <v>6.433747197603723E-2</v>
      </c>
      <c r="AQ32" s="25">
        <f>'IS (Bull-Case)'!AQ32-'IS (Base-Case)'!AQ32</f>
        <v>0.25798807947070479</v>
      </c>
      <c r="AR32" s="24">
        <f>'IS (Bull-Case)'!AR32-'IS (Base-Case)'!AR32</f>
        <v>6.7142292393379988E-2</v>
      </c>
      <c r="AS32" s="24">
        <f>'IS (Bull-Case)'!AS32-'IS (Base-Case)'!AS32</f>
        <v>6.3023383322445392E-2</v>
      </c>
      <c r="AT32" s="24">
        <f>'IS (Bull-Case)'!AT32-'IS (Base-Case)'!AT32</f>
        <v>7.2555850430198188E-2</v>
      </c>
      <c r="AU32" s="24">
        <f>'IS (Bull-Case)'!AU32-'IS (Base-Case)'!AU32</f>
        <v>6.7116010785076563E-2</v>
      </c>
      <c r="AV32" s="25">
        <f>'IS (Bull-Case)'!AV32-'IS (Base-Case)'!AV32</f>
        <v>0.26983718614581331</v>
      </c>
    </row>
    <row r="33" spans="2:48" x14ac:dyDescent="0.3">
      <c r="B33" s="445" t="s">
        <v>7</v>
      </c>
      <c r="C33" s="446"/>
      <c r="D33" s="110">
        <f>'IS (Bull-Case)'!D33-'IS (Base-Case)'!D33</f>
        <v>0</v>
      </c>
      <c r="E33" s="110">
        <f>'IS (Bull-Case)'!E33-'IS (Base-Case)'!E33</f>
        <v>0</v>
      </c>
      <c r="F33" s="110">
        <f>'IS (Bull-Case)'!F33-'IS (Base-Case)'!F33</f>
        <v>0</v>
      </c>
      <c r="G33" s="110">
        <f>'IS (Bull-Case)'!G33-'IS (Base-Case)'!G33</f>
        <v>0</v>
      </c>
      <c r="H33" s="174">
        <f>'IS (Bull-Case)'!H33-'IS (Base-Case)'!H33</f>
        <v>0</v>
      </c>
      <c r="I33" s="110">
        <f>'IS (Bull-Case)'!I33-'IS (Base-Case)'!I33</f>
        <v>0</v>
      </c>
      <c r="J33" s="110">
        <f>'IS (Bull-Case)'!J33-'IS (Base-Case)'!J33</f>
        <v>0</v>
      </c>
      <c r="K33" s="110">
        <f>'IS (Bull-Case)'!K33-'IS (Base-Case)'!K33</f>
        <v>0</v>
      </c>
      <c r="L33" s="110">
        <f>'IS (Bull-Case)'!L33-'IS (Base-Case)'!L33</f>
        <v>0</v>
      </c>
      <c r="M33" s="174">
        <f>'IS (Bull-Case)'!M33-'IS (Base-Case)'!M33</f>
        <v>0</v>
      </c>
      <c r="N33" s="110">
        <f>'IS (Bull-Case)'!N33-'IS (Base-Case)'!N33</f>
        <v>0</v>
      </c>
      <c r="O33" s="110">
        <f>'IS (Bull-Case)'!O33-'IS (Base-Case)'!O33</f>
        <v>0</v>
      </c>
      <c r="P33" s="110">
        <f>'IS (Bull-Case)'!P33-'IS (Base-Case)'!P33</f>
        <v>0</v>
      </c>
      <c r="Q33" s="110">
        <f>'IS (Bull-Case)'!Q33-'IS (Base-Case)'!Q33</f>
        <v>0</v>
      </c>
      <c r="R33" s="174">
        <f>'IS (Bull-Case)'!R33-'IS (Base-Case)'!R33</f>
        <v>0</v>
      </c>
      <c r="S33" s="24">
        <f>'IS (Bull-Case)'!S33-'IS (Base-Case)'!S33</f>
        <v>0</v>
      </c>
      <c r="T33" s="24">
        <f>'IS (Bull-Case)'!T33-'IS (Base-Case)'!T33</f>
        <v>0</v>
      </c>
      <c r="U33" s="24">
        <f>'IS (Bull-Case)'!U33-'IS (Base-Case)'!U33</f>
        <v>0</v>
      </c>
      <c r="V33" s="24">
        <f>'IS (Bull-Case)'!V33-'IS (Base-Case)'!V33</f>
        <v>0</v>
      </c>
      <c r="W33" s="174">
        <f>'IS (Bull-Case)'!W33-'IS (Base-Case)'!W33</f>
        <v>0</v>
      </c>
      <c r="X33" s="24">
        <f>'IS (Bull-Case)'!X33-'IS (Base-Case)'!X33</f>
        <v>1.1980278739851635E-2</v>
      </c>
      <c r="Y33" s="24">
        <f>'IS (Bull-Case)'!Y33-'IS (Base-Case)'!Y33</f>
        <v>1.1041687430086933E-2</v>
      </c>
      <c r="Z33" s="24">
        <f>'IS (Bull-Case)'!Z33-'IS (Base-Case)'!Z33</f>
        <v>1.4783631658401131E-2</v>
      </c>
      <c r="AA33" s="24">
        <f>'IS (Bull-Case)'!AA33-'IS (Base-Case)'!AA33</f>
        <v>1.4459055660863473E-2</v>
      </c>
      <c r="AB33" s="25">
        <f>'IS (Bull-Case)'!AB33-'IS (Base-Case)'!AB33</f>
        <v>5.2264588157325598E-2</v>
      </c>
      <c r="AC33" s="24">
        <f>'IS (Bull-Case)'!AC33-'IS (Base-Case)'!AC33</f>
        <v>3.8068745974642049E-2</v>
      </c>
      <c r="AD33" s="24">
        <f>'IS (Bull-Case)'!AD33-'IS (Base-Case)'!AD33</f>
        <v>3.300787385197157E-2</v>
      </c>
      <c r="AE33" s="24">
        <f>'IS (Bull-Case)'!AE33-'IS (Base-Case)'!AE33</f>
        <v>4.1957514277392138E-2</v>
      </c>
      <c r="AF33" s="24">
        <f>'IS (Bull-Case)'!AF33-'IS (Base-Case)'!AF33</f>
        <v>3.8549146283749613E-2</v>
      </c>
      <c r="AG33" s="25">
        <f>'IS (Bull-Case)'!AG33-'IS (Base-Case)'!AG33</f>
        <v>0.15158320853003815</v>
      </c>
      <c r="AH33" s="24">
        <f>'IS (Bull-Case)'!AH33-'IS (Base-Case)'!AH33</f>
        <v>6.9547456404690511E-2</v>
      </c>
      <c r="AI33" s="24">
        <f>'IS (Bull-Case)'!AI33-'IS (Base-Case)'!AI33</f>
        <v>6.1063564685453375E-2</v>
      </c>
      <c r="AJ33" s="24">
        <f>'IS (Bull-Case)'!AJ33-'IS (Base-Case)'!AJ33</f>
        <v>6.2518621064960866E-2</v>
      </c>
      <c r="AK33" s="24">
        <f>'IS (Bull-Case)'!AK33-'IS (Base-Case)'!AK33</f>
        <v>5.2125065917703273E-2</v>
      </c>
      <c r="AL33" s="25">
        <f>'IS (Bull-Case)'!AL33-'IS (Base-Case)'!AL33</f>
        <v>0.24778370555145468</v>
      </c>
      <c r="AM33" s="24">
        <f>'IS (Bull-Case)'!AM33-'IS (Base-Case)'!AM33</f>
        <v>6.4453326479176232E-2</v>
      </c>
      <c r="AN33" s="24">
        <f>'IS (Bull-Case)'!AN33-'IS (Base-Case)'!AN33</f>
        <v>6.0638458589624467E-2</v>
      </c>
      <c r="AO33" s="24">
        <f>'IS (Bull-Case)'!AO33-'IS (Base-Case)'!AO33</f>
        <v>6.9939458795704734E-2</v>
      </c>
      <c r="AP33" s="24">
        <f>'IS (Bull-Case)'!AP33-'IS (Base-Case)'!AP33</f>
        <v>6.4904922039360935E-2</v>
      </c>
      <c r="AQ33" s="25">
        <f>'IS (Bull-Case)'!AQ33-'IS (Base-Case)'!AQ33</f>
        <v>0.25993754811476766</v>
      </c>
      <c r="AR33" s="24">
        <f>'IS (Bull-Case)'!AR33-'IS (Base-Case)'!AR33</f>
        <v>6.7790899644714075E-2</v>
      </c>
      <c r="AS33" s="24">
        <f>'IS (Bull-Case)'!AS33-'IS (Base-Case)'!AS33</f>
        <v>6.373604271754485E-2</v>
      </c>
      <c r="AT33" s="24">
        <f>'IS (Bull-Case)'!AT33-'IS (Base-Case)'!AT33</f>
        <v>7.3409712382806358E-2</v>
      </c>
      <c r="AU33" s="24">
        <f>'IS (Bull-Case)'!AU33-'IS (Base-Case)'!AU33</f>
        <v>6.7959751740029217E-2</v>
      </c>
      <c r="AV33" s="25">
        <f>'IS (Bull-Case)'!AV33-'IS (Base-Case)'!AV33</f>
        <v>0.27289784717838472</v>
      </c>
    </row>
    <row r="34" spans="2:48" x14ac:dyDescent="0.3">
      <c r="B34" s="93" t="s">
        <v>74</v>
      </c>
      <c r="C34" s="100"/>
      <c r="D34" s="111">
        <f>'IS (Bull-Case)'!D34-'IS (Base-Case)'!D34</f>
        <v>0</v>
      </c>
      <c r="E34" s="111">
        <f>'IS (Bull-Case)'!E34-'IS (Base-Case)'!E34</f>
        <v>0</v>
      </c>
      <c r="F34" s="111">
        <f>'IS (Bull-Case)'!F34-'IS (Base-Case)'!F34</f>
        <v>0</v>
      </c>
      <c r="G34" s="111">
        <f>'IS (Bull-Case)'!G34-'IS (Base-Case)'!G34</f>
        <v>0</v>
      </c>
      <c r="H34" s="172">
        <f>'IS (Bull-Case)'!H34-'IS (Base-Case)'!H34</f>
        <v>0</v>
      </c>
      <c r="I34" s="111">
        <f>'IS (Bull-Case)'!I34-'IS (Base-Case)'!I34</f>
        <v>0</v>
      </c>
      <c r="J34" s="111">
        <f>'IS (Bull-Case)'!J34-'IS (Base-Case)'!J34</f>
        <v>0</v>
      </c>
      <c r="K34" s="111">
        <f>'IS (Bull-Case)'!K34-'IS (Base-Case)'!K34</f>
        <v>0</v>
      </c>
      <c r="L34" s="111">
        <f>'IS (Bull-Case)'!L34-'IS (Base-Case)'!L34</f>
        <v>0</v>
      </c>
      <c r="M34" s="172">
        <f>'IS (Bull-Case)'!M34-'IS (Base-Case)'!M34</f>
        <v>0</v>
      </c>
      <c r="N34" s="111">
        <f>'IS (Bull-Case)'!N34-'IS (Base-Case)'!N34</f>
        <v>0</v>
      </c>
      <c r="O34" s="111">
        <f>'IS (Bull-Case)'!O34-'IS (Base-Case)'!O34</f>
        <v>0</v>
      </c>
      <c r="P34" s="111">
        <f>'IS (Bull-Case)'!P34-'IS (Base-Case)'!P34</f>
        <v>0</v>
      </c>
      <c r="Q34" s="111">
        <f>'IS (Bull-Case)'!Q34-'IS (Base-Case)'!Q34</f>
        <v>0</v>
      </c>
      <c r="R34" s="172">
        <f>'IS (Bull-Case)'!R34-'IS (Base-Case)'!R34</f>
        <v>0</v>
      </c>
      <c r="S34" s="111">
        <f>'IS (Bull-Case)'!S34-'IS (Base-Case)'!S34</f>
        <v>0</v>
      </c>
      <c r="T34" s="111">
        <f>'IS (Bull-Case)'!T34-'IS (Base-Case)'!T34</f>
        <v>0</v>
      </c>
      <c r="U34" s="111">
        <f>'IS (Bull-Case)'!U34-'IS (Base-Case)'!U34</f>
        <v>0</v>
      </c>
      <c r="V34" s="111">
        <f>'IS (Bull-Case)'!V34-'IS (Base-Case)'!V34</f>
        <v>0</v>
      </c>
      <c r="W34" s="172">
        <f>'IS (Bull-Case)'!W34-'IS (Base-Case)'!W34</f>
        <v>0</v>
      </c>
      <c r="X34" s="82">
        <f>'IS (Bull-Case)'!X34-'IS (Base-Case)'!X34</f>
        <v>1.1980278739851635E-2</v>
      </c>
      <c r="Y34" s="82">
        <f>'IS (Bull-Case)'!Y34-'IS (Base-Case)'!Y34</f>
        <v>1.1041687430087044E-2</v>
      </c>
      <c r="Z34" s="82">
        <f>'IS (Bull-Case)'!Z34-'IS (Base-Case)'!Z34</f>
        <v>1.4783631658401131E-2</v>
      </c>
      <c r="AA34" s="82">
        <f>'IS (Bull-Case)'!AA34-'IS (Base-Case)'!AA34</f>
        <v>1.4459055660863473E-2</v>
      </c>
      <c r="AB34" s="83">
        <f>'IS (Bull-Case)'!AB34-'IS (Base-Case)'!AB34</f>
        <v>5.2264692610941577E-2</v>
      </c>
      <c r="AC34" s="82">
        <f>'IS (Bull-Case)'!AC34-'IS (Base-Case)'!AC34</f>
        <v>3.8068745974641938E-2</v>
      </c>
      <c r="AD34" s="82">
        <f>'IS (Bull-Case)'!AD34-'IS (Base-Case)'!AD34</f>
        <v>3.300787385197157E-2</v>
      </c>
      <c r="AE34" s="82">
        <f>'IS (Bull-Case)'!AE34-'IS (Base-Case)'!AE34</f>
        <v>4.1957141124896458E-2</v>
      </c>
      <c r="AF34" s="82">
        <f>'IS (Bull-Case)'!AF34-'IS (Base-Case)'!AF34</f>
        <v>3.8548399928550081E-2</v>
      </c>
      <c r="AG34" s="83">
        <f>'IS (Bull-Case)'!AG34-'IS (Base-Case)'!AG34</f>
        <v>0.15158198575603476</v>
      </c>
      <c r="AH34" s="82">
        <f>'IS (Bull-Case)'!AH34-'IS (Base-Case)'!AH34</f>
        <v>6.954538636805041E-2</v>
      </c>
      <c r="AI34" s="82">
        <f>'IS (Bull-Case)'!AI34-'IS (Base-Case)'!AI34</f>
        <v>6.1060171054895918E-2</v>
      </c>
      <c r="AJ34" s="82">
        <f>'IS (Bull-Case)'!AJ34-'IS (Base-Case)'!AJ34</f>
        <v>6.200723930755303E-2</v>
      </c>
      <c r="AK34" s="82">
        <f>'IS (Bull-Case)'!AK34-'IS (Base-Case)'!AK34</f>
        <v>5.1034729933068901E-2</v>
      </c>
      <c r="AL34" s="172">
        <f>'IS (Bull-Case)'!AL34-'IS (Base-Case)'!AL34</f>
        <v>0.2462044110859587</v>
      </c>
      <c r="AM34" s="82">
        <f>'IS (Bull-Case)'!AM34-'IS (Base-Case)'!AM34</f>
        <v>6.3356352038313579E-2</v>
      </c>
      <c r="AN34" s="82">
        <f>'IS (Bull-Case)'!AN34-'IS (Base-Case)'!AN34</f>
        <v>5.9534817297558718E-2</v>
      </c>
      <c r="AO34" s="82">
        <f>'IS (Bull-Case)'!AO34-'IS (Base-Case)'!AO34</f>
        <v>6.8829122100945384E-2</v>
      </c>
      <c r="AP34" s="82">
        <f>'IS (Bull-Case)'!AP34-'IS (Base-Case)'!AP34</f>
        <v>6.3787861232836418E-2</v>
      </c>
      <c r="AQ34" s="83">
        <f>'IS (Bull-Case)'!AQ34-'IS (Base-Case)'!AQ34</f>
        <v>0.2555087146585624</v>
      </c>
      <c r="AR34" s="82">
        <f>'IS (Bull-Case)'!AR34-'IS (Base-Case)'!AR34</f>
        <v>6.6667240646096637E-2</v>
      </c>
      <c r="AS34" s="82">
        <f>'IS (Bull-Case)'!AS34-'IS (Base-Case)'!AS34</f>
        <v>6.260575804280144E-2</v>
      </c>
      <c r="AT34" s="82">
        <f>'IS (Bull-Case)'!AT34-'IS (Base-Case)'!AT34</f>
        <v>7.2272774400210071E-2</v>
      </c>
      <c r="AU34" s="82">
        <f>'IS (Bull-Case)'!AU34-'IS (Base-Case)'!AU34</f>
        <v>6.6816132669181183E-2</v>
      </c>
      <c r="AV34" s="83">
        <f>'IS (Bull-Case)'!AV34-'IS (Base-Case)'!AV34</f>
        <v>0.26836251663317601</v>
      </c>
    </row>
    <row r="35" spans="2:48" x14ac:dyDescent="0.3">
      <c r="B35" s="38" t="s">
        <v>41</v>
      </c>
      <c r="C35" s="207"/>
      <c r="D35" s="239">
        <f>'IS (Bull-Case)'!D35-'IS (Base-Case)'!D35</f>
        <v>0</v>
      </c>
      <c r="E35" s="239">
        <f>'IS (Bull-Case)'!E35-'IS (Base-Case)'!E35</f>
        <v>0</v>
      </c>
      <c r="F35" s="239">
        <f>'IS (Bull-Case)'!F35-'IS (Base-Case)'!F35</f>
        <v>0</v>
      </c>
      <c r="G35" s="239">
        <f>'IS (Bull-Case)'!G35-'IS (Base-Case)'!G35</f>
        <v>0</v>
      </c>
      <c r="H35" s="174">
        <f>'IS (Bull-Case)'!H35-'IS (Base-Case)'!H35</f>
        <v>0</v>
      </c>
      <c r="I35" s="239">
        <f>'IS (Bull-Case)'!I35-'IS (Base-Case)'!I35</f>
        <v>0</v>
      </c>
      <c r="J35" s="239">
        <f>'IS (Bull-Case)'!J35-'IS (Base-Case)'!J35</f>
        <v>0</v>
      </c>
      <c r="K35" s="239">
        <f>'IS (Bull-Case)'!K35-'IS (Base-Case)'!K35</f>
        <v>0</v>
      </c>
      <c r="L35" s="239">
        <f>'IS (Bull-Case)'!L35-'IS (Base-Case)'!L35</f>
        <v>0</v>
      </c>
      <c r="M35" s="25">
        <f>'IS (Bull-Case)'!M35-'IS (Base-Case)'!M35</f>
        <v>0</v>
      </c>
      <c r="N35" s="239">
        <f>'IS (Bull-Case)'!N35-'IS (Base-Case)'!N35</f>
        <v>0</v>
      </c>
      <c r="O35" s="239">
        <f>'IS (Bull-Case)'!O35-'IS (Base-Case)'!O35</f>
        <v>0</v>
      </c>
      <c r="P35" s="239">
        <f>'IS (Bull-Case)'!P35-'IS (Base-Case)'!P35</f>
        <v>0</v>
      </c>
      <c r="Q35" s="239">
        <f>'IS (Bull-Case)'!Q35-'IS (Base-Case)'!Q35</f>
        <v>0</v>
      </c>
      <c r="R35" s="25">
        <f>'IS (Bull-Case)'!R35-'IS (Base-Case)'!R35</f>
        <v>0</v>
      </c>
      <c r="S35" s="239">
        <f>'IS (Bull-Case)'!S35-'IS (Base-Case)'!S35</f>
        <v>0</v>
      </c>
      <c r="T35" s="239">
        <f>'IS (Bull-Case)'!T35-'IS (Base-Case)'!T35</f>
        <v>0</v>
      </c>
      <c r="U35" s="239">
        <f>'IS (Bull-Case)'!U35-'IS (Base-Case)'!U35</f>
        <v>0</v>
      </c>
      <c r="V35" s="240">
        <f>'IS (Bull-Case)'!V35-'IS (Base-Case)'!V35</f>
        <v>0</v>
      </c>
      <c r="W35" s="25">
        <f>'IS (Bull-Case)'!W35-'IS (Base-Case)'!W35</f>
        <v>0</v>
      </c>
      <c r="X35" s="240">
        <f>'IS (Bull-Case)'!X35-'IS (Base-Case)'!X35</f>
        <v>0</v>
      </c>
      <c r="Y35" s="240">
        <f>'IS (Bull-Case)'!Y35-'IS (Base-Case)'!Y35</f>
        <v>0</v>
      </c>
      <c r="Z35" s="240">
        <f>'IS (Bull-Case)'!Z35-'IS (Base-Case)'!Z35</f>
        <v>0</v>
      </c>
      <c r="AA35" s="240">
        <f>'IS (Bull-Case)'!AA35-'IS (Base-Case)'!AA35</f>
        <v>0</v>
      </c>
      <c r="AB35" s="25">
        <f>'IS (Bull-Case)'!AB35-'IS (Base-Case)'!AB35</f>
        <v>0</v>
      </c>
      <c r="AC35" s="240">
        <f>'IS (Bull-Case)'!AC35-'IS (Base-Case)'!AC35</f>
        <v>0</v>
      </c>
      <c r="AD35" s="240">
        <f>'IS (Bull-Case)'!AD35-'IS (Base-Case)'!AD35</f>
        <v>0</v>
      </c>
      <c r="AE35" s="240">
        <f>'IS (Bull-Case)'!AE35-'IS (Base-Case)'!AE35</f>
        <v>0</v>
      </c>
      <c r="AF35" s="240">
        <f>'IS (Bull-Case)'!AF35-'IS (Base-Case)'!AF35</f>
        <v>2.7011250000000042E-2</v>
      </c>
      <c r="AG35" s="25">
        <f>'IS (Bull-Case)'!AG35-'IS (Base-Case)'!AG35</f>
        <v>2.7011250000000153E-2</v>
      </c>
      <c r="AH35" s="240">
        <f>'IS (Bull-Case)'!AH35-'IS (Base-Case)'!AH35</f>
        <v>2.7011250000000042E-2</v>
      </c>
      <c r="AI35" s="240">
        <f>'IS (Bull-Case)'!AI35-'IS (Base-Case)'!AI35</f>
        <v>2.7011250000000042E-2</v>
      </c>
      <c r="AJ35" s="240">
        <f>'IS (Bull-Case)'!AJ35-'IS (Base-Case)'!AJ35</f>
        <v>2.7011250000000042E-2</v>
      </c>
      <c r="AK35" s="240">
        <f>'IS (Bull-Case)'!AK35-'IS (Base-Case)'!AK35</f>
        <v>2.8361812500000028E-2</v>
      </c>
      <c r="AL35" s="174">
        <f>'IS (Bull-Case)'!AL35-'IS (Base-Case)'!AL35</f>
        <v>0.10939556250000004</v>
      </c>
      <c r="AM35" s="240">
        <f>'IS (Bull-Case)'!AM35-'IS (Base-Case)'!AM35</f>
        <v>2.8361812500000028E-2</v>
      </c>
      <c r="AN35" s="240">
        <f>'IS (Bull-Case)'!AN35-'IS (Base-Case)'!AN35</f>
        <v>2.8361812500000028E-2</v>
      </c>
      <c r="AO35" s="240">
        <f>'IS (Bull-Case)'!AO35-'IS (Base-Case)'!AO35</f>
        <v>2.8361812500000028E-2</v>
      </c>
      <c r="AP35" s="240">
        <f>'IS (Bull-Case)'!AP35-'IS (Base-Case)'!AP35</f>
        <v>2.8929048750000019E-2</v>
      </c>
      <c r="AQ35" s="25">
        <f>'IS (Bull-Case)'!AQ35-'IS (Base-Case)'!AQ35</f>
        <v>0.11401448624999988</v>
      </c>
      <c r="AR35" s="240">
        <f>'IS (Bull-Case)'!AR35-'IS (Base-Case)'!AR35</f>
        <v>2.8929048750000019E-2</v>
      </c>
      <c r="AS35" s="240">
        <f>'IS (Bull-Case)'!AS35-'IS (Base-Case)'!AS35</f>
        <v>2.8929048750000019E-2</v>
      </c>
      <c r="AT35" s="240">
        <f>'IS (Bull-Case)'!AT35-'IS (Base-Case)'!AT35</f>
        <v>2.8929048750000019E-2</v>
      </c>
      <c r="AU35" s="240">
        <f>'IS (Bull-Case)'!AU35-'IS (Base-Case)'!AU35</f>
        <v>2.9507629724999984E-2</v>
      </c>
      <c r="AV35" s="25">
        <f>'IS (Bull-Case)'!AV35-'IS (Base-Case)'!AV35</f>
        <v>0.1162947759750006</v>
      </c>
    </row>
    <row r="36" spans="2:48" s="241" customFormat="1" x14ac:dyDescent="0.3">
      <c r="B36" s="242" t="s">
        <v>170</v>
      </c>
      <c r="C36" s="243"/>
      <c r="D36" s="211">
        <f>'IS (Bull-Case)'!D36-'IS (Base-Case)'!D36</f>
        <v>0</v>
      </c>
      <c r="E36" s="211">
        <f>'IS (Bull-Case)'!E36-'IS (Base-Case)'!E36</f>
        <v>0</v>
      </c>
      <c r="F36" s="211">
        <f>'IS (Bull-Case)'!F36-'IS (Base-Case)'!F36</f>
        <v>0</v>
      </c>
      <c r="G36" s="211">
        <f>'IS (Bull-Case)'!G36-'IS (Base-Case)'!G36</f>
        <v>0</v>
      </c>
      <c r="H36" s="244">
        <f>'IS (Bull-Case)'!H36-'IS (Base-Case)'!H36</f>
        <v>0</v>
      </c>
      <c r="I36" s="211">
        <f>'IS (Bull-Case)'!I36-'IS (Base-Case)'!I36</f>
        <v>0</v>
      </c>
      <c r="J36" s="211">
        <f>'IS (Bull-Case)'!J36-'IS (Base-Case)'!J36</f>
        <v>0</v>
      </c>
      <c r="K36" s="211">
        <f>'IS (Bull-Case)'!K36-'IS (Base-Case)'!K36</f>
        <v>0</v>
      </c>
      <c r="L36" s="211">
        <f>'IS (Bull-Case)'!L36-'IS (Base-Case)'!L36</f>
        <v>0</v>
      </c>
      <c r="M36" s="244">
        <f>'IS (Bull-Case)'!M36-'IS (Base-Case)'!M36</f>
        <v>0</v>
      </c>
      <c r="N36" s="211">
        <f>'IS (Bull-Case)'!N36-'IS (Base-Case)'!N36</f>
        <v>0</v>
      </c>
      <c r="O36" s="211">
        <f>'IS (Bull-Case)'!O36-'IS (Base-Case)'!O36</f>
        <v>0</v>
      </c>
      <c r="P36" s="211">
        <f>'IS (Bull-Case)'!P36-'IS (Base-Case)'!P36</f>
        <v>0</v>
      </c>
      <c r="Q36" s="211">
        <f>'IS (Bull-Case)'!Q36-'IS (Base-Case)'!Q36</f>
        <v>0</v>
      </c>
      <c r="R36" s="244">
        <f>'IS (Bull-Case)'!R36-'IS (Base-Case)'!R36</f>
        <v>0</v>
      </c>
      <c r="S36" s="211">
        <f>'IS (Bull-Case)'!S36-'IS (Base-Case)'!S36</f>
        <v>0</v>
      </c>
      <c r="T36" s="211">
        <f>'IS (Bull-Case)'!T36-'IS (Base-Case)'!T36</f>
        <v>0</v>
      </c>
      <c r="U36" s="211">
        <f>'IS (Bull-Case)'!U36-'IS (Base-Case)'!U36</f>
        <v>0</v>
      </c>
      <c r="V36" s="211">
        <f>'IS (Bull-Case)'!V36-'IS (Base-Case)'!V36</f>
        <v>0</v>
      </c>
      <c r="W36" s="244">
        <f>'IS (Bull-Case)'!W36-'IS (Base-Case)'!W36</f>
        <v>0</v>
      </c>
      <c r="X36" s="211">
        <f>'IS (Bull-Case)'!X36-'IS (Base-Case)'!X36</f>
        <v>0</v>
      </c>
      <c r="Y36" s="211">
        <f>'IS (Bull-Case)'!Y36-'IS (Base-Case)'!Y36</f>
        <v>0</v>
      </c>
      <c r="Z36" s="211">
        <f>'IS (Bull-Case)'!Z36-'IS (Base-Case)'!Z36</f>
        <v>0</v>
      </c>
      <c r="AA36" s="211">
        <f>'IS (Bull-Case)'!AA36-'IS (Base-Case)'!AA36</f>
        <v>0</v>
      </c>
      <c r="AB36" s="244">
        <f>'IS (Bull-Case)'!AB36-'IS (Base-Case)'!AB36</f>
        <v>-1.0522687692612553E-2</v>
      </c>
      <c r="AC36" s="211">
        <f>'IS (Bull-Case)'!AC36-'IS (Base-Case)'!AC36</f>
        <v>0</v>
      </c>
      <c r="AD36" s="211">
        <f>'IS (Bull-Case)'!AD36-'IS (Base-Case)'!AD36</f>
        <v>0</v>
      </c>
      <c r="AE36" s="211">
        <f>'IS (Bull-Case)'!AE36-'IS (Base-Case)'!AE36</f>
        <v>0</v>
      </c>
      <c r="AF36" s="211">
        <f>'IS (Bull-Case)'!AF36-'IS (Base-Case)'!AF36</f>
        <v>0</v>
      </c>
      <c r="AG36" s="244">
        <f>'IS (Bull-Case)'!AG36-'IS (Base-Case)'!AG36</f>
        <v>-1.6261366215177375E-2</v>
      </c>
      <c r="AH36" s="211">
        <f>'IS (Bull-Case)'!AH36-'IS (Base-Case)'!AH36</f>
        <v>0</v>
      </c>
      <c r="AI36" s="211">
        <f>'IS (Bull-Case)'!AI36-'IS (Base-Case)'!AI36</f>
        <v>0</v>
      </c>
      <c r="AJ36" s="211">
        <f>'IS (Bull-Case)'!AJ36-'IS (Base-Case)'!AJ36</f>
        <v>0</v>
      </c>
      <c r="AK36" s="211">
        <f>'IS (Bull-Case)'!AK36-'IS (Base-Case)'!AK36</f>
        <v>0</v>
      </c>
      <c r="AL36" s="244">
        <f>'IS (Bull-Case)'!AL36-'IS (Base-Case)'!AL36</f>
        <v>-3.3783029901279793E-3</v>
      </c>
      <c r="AM36" s="211">
        <f>'IS (Bull-Case)'!AM36-'IS (Base-Case)'!AM36</f>
        <v>0</v>
      </c>
      <c r="AN36" s="211">
        <f>'IS (Bull-Case)'!AN36-'IS (Base-Case)'!AN36</f>
        <v>0</v>
      </c>
      <c r="AO36" s="211">
        <f>'IS (Bull-Case)'!AO36-'IS (Base-Case)'!AO36</f>
        <v>0</v>
      </c>
      <c r="AP36" s="211">
        <f>'IS (Bull-Case)'!AP36-'IS (Base-Case)'!AP36</f>
        <v>0</v>
      </c>
      <c r="AQ36" s="244">
        <f>'IS (Bull-Case)'!AQ36-'IS (Base-Case)'!AQ36</f>
        <v>-1.3838396143930343E-3</v>
      </c>
      <c r="AR36" s="211">
        <f>'IS (Bull-Case)'!AR36-'IS (Base-Case)'!AR36</f>
        <v>0</v>
      </c>
      <c r="AS36" s="211">
        <f>'IS (Bull-Case)'!AS36-'IS (Base-Case)'!AS36</f>
        <v>0</v>
      </c>
      <c r="AT36" s="211">
        <f>'IS (Bull-Case)'!AT36-'IS (Base-Case)'!AT36</f>
        <v>0</v>
      </c>
      <c r="AU36" s="211">
        <f>'IS (Bull-Case)'!AU36-'IS (Base-Case)'!AU36</f>
        <v>0</v>
      </c>
      <c r="AV36" s="244">
        <f>'IS (Bull-Case)'!AV36-'IS (Base-Case)'!AV36</f>
        <v>-7.2109803223197044E-4</v>
      </c>
    </row>
    <row r="37" spans="2:48" s="63" customFormat="1" x14ac:dyDescent="0.3">
      <c r="B37" s="198"/>
      <c r="C37" s="371"/>
      <c r="D37" s="372"/>
      <c r="E37" s="196"/>
      <c r="F37" s="196"/>
      <c r="G37" s="196"/>
      <c r="H37" s="196"/>
      <c r="I37" s="196"/>
      <c r="J37" s="196"/>
      <c r="K37" s="196"/>
      <c r="L37" s="196"/>
      <c r="M37" s="196"/>
      <c r="N37" s="196"/>
      <c r="O37" s="196"/>
      <c r="P37" s="196"/>
      <c r="Q37" s="196"/>
      <c r="R37" s="196"/>
      <c r="S37" s="196"/>
      <c r="T37" s="196"/>
      <c r="U37" s="196"/>
      <c r="V37" s="196"/>
      <c r="W37" s="392"/>
      <c r="X37" s="196"/>
      <c r="Y37" s="196"/>
      <c r="Z37" s="196"/>
      <c r="AA37" s="196"/>
      <c r="AB37" s="392"/>
      <c r="AC37" s="196"/>
      <c r="AD37" s="196"/>
      <c r="AE37" s="196"/>
      <c r="AF37" s="392"/>
      <c r="AG37" s="392"/>
      <c r="AH37" s="196"/>
      <c r="AI37" s="196"/>
      <c r="AJ37" s="196"/>
      <c r="AK37" s="196"/>
      <c r="AL37" s="372"/>
      <c r="AM37" s="196"/>
      <c r="AN37" s="196"/>
      <c r="AO37" s="196"/>
      <c r="AP37" s="196"/>
      <c r="AQ37" s="196"/>
      <c r="AR37" s="196"/>
      <c r="AS37" s="196"/>
      <c r="AT37" s="196"/>
      <c r="AU37" s="196"/>
      <c r="AV37" s="196"/>
    </row>
    <row r="38" spans="2:48" ht="15.6" x14ac:dyDescent="0.3">
      <c r="B38" s="433" t="s">
        <v>13</v>
      </c>
      <c r="C38" s="434"/>
      <c r="D38" s="13" t="s">
        <v>15</v>
      </c>
      <c r="E38" s="13" t="s">
        <v>82</v>
      </c>
      <c r="F38" s="13" t="s">
        <v>84</v>
      </c>
      <c r="G38" s="13" t="s">
        <v>147</v>
      </c>
      <c r="H38" s="39" t="s">
        <v>147</v>
      </c>
      <c r="I38" s="13" t="s">
        <v>146</v>
      </c>
      <c r="J38" s="13" t="s">
        <v>145</v>
      </c>
      <c r="K38" s="13" t="s">
        <v>144</v>
      </c>
      <c r="L38" s="13" t="s">
        <v>141</v>
      </c>
      <c r="M38" s="39" t="s">
        <v>141</v>
      </c>
      <c r="N38" s="13" t="s">
        <v>148</v>
      </c>
      <c r="O38" s="13" t="s">
        <v>156</v>
      </c>
      <c r="P38" s="13" t="s">
        <v>158</v>
      </c>
      <c r="Q38" s="13" t="s">
        <v>171</v>
      </c>
      <c r="R38" s="39" t="s">
        <v>171</v>
      </c>
      <c r="S38" s="13" t="s">
        <v>187</v>
      </c>
      <c r="T38" s="13" t="s">
        <v>190</v>
      </c>
      <c r="U38" s="13" t="s">
        <v>203</v>
      </c>
      <c r="V38" s="15" t="s">
        <v>20</v>
      </c>
      <c r="W38" s="41" t="s">
        <v>20</v>
      </c>
      <c r="X38" s="15" t="s">
        <v>21</v>
      </c>
      <c r="Y38" s="15" t="s">
        <v>22</v>
      </c>
      <c r="Z38" s="15" t="s">
        <v>23</v>
      </c>
      <c r="AA38" s="15" t="s">
        <v>24</v>
      </c>
      <c r="AB38" s="41" t="s">
        <v>24</v>
      </c>
      <c r="AC38" s="15" t="s">
        <v>86</v>
      </c>
      <c r="AD38" s="15" t="s">
        <v>87</v>
      </c>
      <c r="AE38" s="15" t="s">
        <v>88</v>
      </c>
      <c r="AF38" s="15" t="s">
        <v>89</v>
      </c>
      <c r="AG38" s="41" t="s">
        <v>89</v>
      </c>
      <c r="AH38" s="15" t="s">
        <v>105</v>
      </c>
      <c r="AI38" s="15" t="s">
        <v>106</v>
      </c>
      <c r="AJ38" s="15" t="s">
        <v>107</v>
      </c>
      <c r="AK38" s="15" t="s">
        <v>108</v>
      </c>
      <c r="AL38" s="41" t="s">
        <v>108</v>
      </c>
      <c r="AM38" s="15" t="s">
        <v>160</v>
      </c>
      <c r="AN38" s="15" t="s">
        <v>161</v>
      </c>
      <c r="AO38" s="15" t="s">
        <v>162</v>
      </c>
      <c r="AP38" s="15" t="s">
        <v>163</v>
      </c>
      <c r="AQ38" s="41" t="s">
        <v>163</v>
      </c>
      <c r="AR38" s="15" t="s">
        <v>191</v>
      </c>
      <c r="AS38" s="15" t="s">
        <v>192</v>
      </c>
      <c r="AT38" s="15" t="s">
        <v>193</v>
      </c>
      <c r="AU38" s="15" t="s">
        <v>194</v>
      </c>
      <c r="AV38" s="41" t="s">
        <v>194</v>
      </c>
    </row>
    <row r="39" spans="2:48" ht="16.2" x14ac:dyDescent="0.45">
      <c r="B39" s="467"/>
      <c r="C39" s="468"/>
      <c r="D39" s="14" t="s">
        <v>19</v>
      </c>
      <c r="E39" s="14" t="s">
        <v>81</v>
      </c>
      <c r="F39" s="14" t="s">
        <v>85</v>
      </c>
      <c r="G39" s="14" t="s">
        <v>95</v>
      </c>
      <c r="H39" s="40" t="s">
        <v>96</v>
      </c>
      <c r="I39" s="14" t="s">
        <v>97</v>
      </c>
      <c r="J39" s="14" t="s">
        <v>98</v>
      </c>
      <c r="K39" s="14" t="s">
        <v>99</v>
      </c>
      <c r="L39" s="14" t="s">
        <v>142</v>
      </c>
      <c r="M39" s="40" t="s">
        <v>143</v>
      </c>
      <c r="N39" s="14" t="s">
        <v>149</v>
      </c>
      <c r="O39" s="14" t="s">
        <v>157</v>
      </c>
      <c r="P39" s="14" t="s">
        <v>159</v>
      </c>
      <c r="Q39" s="14" t="s">
        <v>172</v>
      </c>
      <c r="R39" s="40" t="s">
        <v>173</v>
      </c>
      <c r="S39" s="14" t="s">
        <v>188</v>
      </c>
      <c r="T39" s="14" t="s">
        <v>189</v>
      </c>
      <c r="U39" s="14" t="s">
        <v>204</v>
      </c>
      <c r="V39" s="12" t="s">
        <v>25</v>
      </c>
      <c r="W39" s="42" t="s">
        <v>26</v>
      </c>
      <c r="X39" s="12" t="s">
        <v>27</v>
      </c>
      <c r="Y39" s="12" t="s">
        <v>28</v>
      </c>
      <c r="Z39" s="12" t="s">
        <v>29</v>
      </c>
      <c r="AA39" s="12" t="s">
        <v>30</v>
      </c>
      <c r="AB39" s="42" t="s">
        <v>31</v>
      </c>
      <c r="AC39" s="12" t="s">
        <v>90</v>
      </c>
      <c r="AD39" s="12" t="s">
        <v>91</v>
      </c>
      <c r="AE39" s="12" t="s">
        <v>92</v>
      </c>
      <c r="AF39" s="12" t="s">
        <v>93</v>
      </c>
      <c r="AG39" s="42" t="s">
        <v>94</v>
      </c>
      <c r="AH39" s="12" t="s">
        <v>109</v>
      </c>
      <c r="AI39" s="12" t="s">
        <v>110</v>
      </c>
      <c r="AJ39" s="12" t="s">
        <v>111</v>
      </c>
      <c r="AK39" s="12" t="s">
        <v>112</v>
      </c>
      <c r="AL39" s="42" t="s">
        <v>113</v>
      </c>
      <c r="AM39" s="12" t="s">
        <v>164</v>
      </c>
      <c r="AN39" s="12" t="s">
        <v>165</v>
      </c>
      <c r="AO39" s="12" t="s">
        <v>166</v>
      </c>
      <c r="AP39" s="12" t="s">
        <v>167</v>
      </c>
      <c r="AQ39" s="42" t="s">
        <v>168</v>
      </c>
      <c r="AR39" s="12" t="s">
        <v>195</v>
      </c>
      <c r="AS39" s="12" t="s">
        <v>196</v>
      </c>
      <c r="AT39" s="12" t="s">
        <v>197</v>
      </c>
      <c r="AU39" s="12" t="s">
        <v>198</v>
      </c>
      <c r="AV39" s="42" t="s">
        <v>199</v>
      </c>
    </row>
    <row r="40" spans="2:48" ht="17.399999999999999" x14ac:dyDescent="0.45">
      <c r="B40" s="455" t="s">
        <v>174</v>
      </c>
      <c r="C40" s="456"/>
      <c r="D40" s="14"/>
      <c r="E40" s="14"/>
      <c r="F40" s="14"/>
      <c r="G40" s="14"/>
      <c r="H40" s="40"/>
      <c r="I40" s="14"/>
      <c r="J40" s="14"/>
      <c r="K40" s="14"/>
      <c r="L40" s="14"/>
      <c r="M40" s="40"/>
      <c r="N40" s="14"/>
      <c r="O40" s="14"/>
      <c r="P40" s="14"/>
      <c r="Q40" s="14"/>
      <c r="R40" s="40"/>
      <c r="S40" s="14"/>
      <c r="T40" s="14"/>
      <c r="U40" s="14"/>
      <c r="V40" s="12"/>
      <c r="W40" s="42"/>
      <c r="X40" s="12"/>
      <c r="Y40" s="12"/>
      <c r="Z40" s="12"/>
      <c r="AA40" s="12"/>
      <c r="AB40" s="42"/>
      <c r="AC40" s="12"/>
      <c r="AD40" s="12"/>
      <c r="AE40" s="12"/>
      <c r="AF40" s="12"/>
      <c r="AG40" s="42"/>
      <c r="AH40" s="12"/>
      <c r="AI40" s="12"/>
      <c r="AJ40" s="12"/>
      <c r="AK40" s="12"/>
      <c r="AL40" s="42"/>
      <c r="AM40" s="12"/>
      <c r="AN40" s="12"/>
      <c r="AO40" s="12"/>
      <c r="AP40" s="12"/>
      <c r="AQ40" s="42"/>
      <c r="AR40" s="12"/>
      <c r="AS40" s="12"/>
      <c r="AT40" s="12"/>
      <c r="AU40" s="12"/>
      <c r="AV40" s="42"/>
    </row>
    <row r="41" spans="2:48" s="8" customFormat="1" outlineLevel="1" x14ac:dyDescent="0.3">
      <c r="B41" s="457" t="s">
        <v>175</v>
      </c>
      <c r="C41" s="458"/>
      <c r="D41" s="21">
        <f>'IS (Bull-Case)'!D41-'IS (Base-Case)'!D41</f>
        <v>0</v>
      </c>
      <c r="E41" s="21">
        <f>'IS (Bull-Case)'!E41-'IS (Base-Case)'!E41</f>
        <v>0</v>
      </c>
      <c r="F41" s="116">
        <f>'IS (Bull-Case)'!F41-'IS (Base-Case)'!F41</f>
        <v>0</v>
      </c>
      <c r="G41" s="21">
        <f>'IS (Bull-Case)'!G41-'IS (Base-Case)'!G41</f>
        <v>0</v>
      </c>
      <c r="H41" s="57">
        <f>'IS (Bull-Case)'!H41-'IS (Base-Case)'!H41</f>
        <v>0</v>
      </c>
      <c r="I41" s="21">
        <f>'IS (Bull-Case)'!I41-'IS (Base-Case)'!I41</f>
        <v>0</v>
      </c>
      <c r="J41" s="21">
        <f>'IS (Bull-Case)'!J41-'IS (Base-Case)'!J41</f>
        <v>0</v>
      </c>
      <c r="K41" s="21">
        <f>'IS (Bull-Case)'!K41-'IS (Base-Case)'!K41</f>
        <v>0</v>
      </c>
      <c r="L41" s="21">
        <f>'IS (Bull-Case)'!L41-'IS (Base-Case)'!L41</f>
        <v>0</v>
      </c>
      <c r="M41" s="57">
        <f>'IS (Bull-Case)'!M41-'IS (Base-Case)'!M41</f>
        <v>0</v>
      </c>
      <c r="N41" s="21">
        <f>'IS (Bull-Case)'!N41-'IS (Base-Case)'!N41</f>
        <v>0</v>
      </c>
      <c r="O41" s="21">
        <f>'IS (Bull-Case)'!O41-'IS (Base-Case)'!O41</f>
        <v>0</v>
      </c>
      <c r="P41" s="21">
        <f>'IS (Bull-Case)'!P41-'IS (Base-Case)'!P41</f>
        <v>0</v>
      </c>
      <c r="Q41" s="21">
        <f>'IS (Bull-Case)'!Q41-'IS (Base-Case)'!Q41</f>
        <v>0</v>
      </c>
      <c r="R41" s="191">
        <f>'IS (Bull-Case)'!R41-'IS (Base-Case)'!R41</f>
        <v>0</v>
      </c>
      <c r="S41" s="21">
        <f>'IS (Bull-Case)'!S41-'IS (Base-Case)'!S41</f>
        <v>0</v>
      </c>
      <c r="T41" s="21">
        <f>'IS (Bull-Case)'!T41-'IS (Base-Case)'!T41</f>
        <v>0</v>
      </c>
      <c r="U41" s="21">
        <f>'IS (Bull-Case)'!U41-'IS (Base-Case)'!U41</f>
        <v>0</v>
      </c>
      <c r="V41" s="21">
        <f>'IS (Bull-Case)'!V41-'IS (Base-Case)'!V41</f>
        <v>0</v>
      </c>
      <c r="W41" s="191">
        <f>'IS (Bull-Case)'!W41-'IS (Base-Case)'!W41</f>
        <v>0</v>
      </c>
      <c r="X41" s="21">
        <f>'IS (Bull-Case)'!X41-'IS (Base-Case)'!X41</f>
        <v>0</v>
      </c>
      <c r="Y41" s="21">
        <f>'IS (Bull-Case)'!Y41-'IS (Base-Case)'!Y41</f>
        <v>0</v>
      </c>
      <c r="Z41" s="21">
        <f>'IS (Bull-Case)'!Z41-'IS (Base-Case)'!Z41</f>
        <v>0</v>
      </c>
      <c r="AA41" s="21">
        <f>'IS (Bull-Case)'!AA41-'IS (Base-Case)'!AA41</f>
        <v>0</v>
      </c>
      <c r="AB41" s="191">
        <f>'IS (Bull-Case)'!AB41-'IS (Base-Case)'!AB41</f>
        <v>0</v>
      </c>
      <c r="AC41" s="21">
        <f>'IS (Bull-Case)'!AC41-'IS (Base-Case)'!AC41</f>
        <v>0</v>
      </c>
      <c r="AD41" s="21">
        <f>'IS (Bull-Case)'!AD41-'IS (Base-Case)'!AD41</f>
        <v>0</v>
      </c>
      <c r="AE41" s="21">
        <f>'IS (Bull-Case)'!AE41-'IS (Base-Case)'!AE41</f>
        <v>0</v>
      </c>
      <c r="AF41" s="21">
        <f>'IS (Bull-Case)'!AF41-'IS (Base-Case)'!AF41</f>
        <v>0</v>
      </c>
      <c r="AG41" s="191">
        <f>'IS (Bull-Case)'!AG41-'IS (Base-Case)'!AG41</f>
        <v>0</v>
      </c>
      <c r="AH41" s="21">
        <f>'IS (Bull-Case)'!AH41-'IS (Base-Case)'!AH41</f>
        <v>0</v>
      </c>
      <c r="AI41" s="21">
        <f>'IS (Bull-Case)'!AI41-'IS (Base-Case)'!AI41</f>
        <v>0</v>
      </c>
      <c r="AJ41" s="21">
        <f>'IS (Bull-Case)'!AJ41-'IS (Base-Case)'!AJ41</f>
        <v>0</v>
      </c>
      <c r="AK41" s="21">
        <f>'IS (Bull-Case)'!AK41-'IS (Base-Case)'!AK41</f>
        <v>0</v>
      </c>
      <c r="AL41" s="191">
        <f>'IS (Bull-Case)'!AL41-'IS (Base-Case)'!AL41</f>
        <v>0</v>
      </c>
      <c r="AM41" s="21">
        <f>'IS (Bull-Case)'!AM41-'IS (Base-Case)'!AM41</f>
        <v>0</v>
      </c>
      <c r="AN41" s="21">
        <f>'IS (Bull-Case)'!AN41-'IS (Base-Case)'!AN41</f>
        <v>0</v>
      </c>
      <c r="AO41" s="21">
        <f>'IS (Bull-Case)'!AO41-'IS (Base-Case)'!AO41</f>
        <v>0</v>
      </c>
      <c r="AP41" s="21">
        <f>'IS (Bull-Case)'!AP41-'IS (Base-Case)'!AP41</f>
        <v>0</v>
      </c>
      <c r="AQ41" s="191">
        <f>'IS (Bull-Case)'!AQ41-'IS (Base-Case)'!AQ41</f>
        <v>0</v>
      </c>
      <c r="AR41" s="21">
        <f>'IS (Bull-Case)'!AR41-'IS (Base-Case)'!AR41</f>
        <v>0</v>
      </c>
      <c r="AS41" s="21">
        <f>'IS (Bull-Case)'!AS41-'IS (Base-Case)'!AS41</f>
        <v>0</v>
      </c>
      <c r="AT41" s="21">
        <f>'IS (Bull-Case)'!AT41-'IS (Base-Case)'!AT41</f>
        <v>0</v>
      </c>
      <c r="AU41" s="21">
        <f>'IS (Bull-Case)'!AU41-'IS (Base-Case)'!AU41</f>
        <v>0</v>
      </c>
      <c r="AV41" s="191">
        <f>'IS (Bull-Case)'!AV41-'IS (Base-Case)'!AV41</f>
        <v>0</v>
      </c>
    </row>
    <row r="42" spans="2:48" outlineLevel="1" x14ac:dyDescent="0.3">
      <c r="B42" s="180" t="s">
        <v>46</v>
      </c>
      <c r="C42" s="201"/>
      <c r="D42" s="101">
        <f>'IS (Bull-Case)'!D42-'IS (Base-Case)'!D42</f>
        <v>0</v>
      </c>
      <c r="E42" s="101">
        <f>'IS (Bull-Case)'!E42-'IS (Base-Case)'!E42</f>
        <v>0</v>
      </c>
      <c r="F42" s="101">
        <f>'IS (Bull-Case)'!F42-'IS (Base-Case)'!F42</f>
        <v>0</v>
      </c>
      <c r="G42" s="101">
        <f>'IS (Bull-Case)'!G42-'IS (Base-Case)'!G42</f>
        <v>0</v>
      </c>
      <c r="H42" s="122">
        <f>'IS (Bull-Case)'!H42-'IS (Base-Case)'!H42</f>
        <v>0</v>
      </c>
      <c r="I42" s="101">
        <f>'IS (Bull-Case)'!I42-'IS (Base-Case)'!I42</f>
        <v>0</v>
      </c>
      <c r="J42" s="101">
        <f>'IS (Bull-Case)'!J42-'IS (Base-Case)'!J42</f>
        <v>0</v>
      </c>
      <c r="K42" s="101">
        <f>'IS (Bull-Case)'!K42-'IS (Base-Case)'!K42</f>
        <v>0</v>
      </c>
      <c r="L42" s="101">
        <f>'IS (Bull-Case)'!L42-'IS (Base-Case)'!L42</f>
        <v>0</v>
      </c>
      <c r="M42" s="122">
        <f>'IS (Bull-Case)'!M42-'IS (Base-Case)'!M42</f>
        <v>0</v>
      </c>
      <c r="N42" s="101">
        <f>'IS (Bull-Case)'!N42-'IS (Base-Case)'!N42</f>
        <v>0</v>
      </c>
      <c r="O42" s="101">
        <f>'IS (Bull-Case)'!O42-'IS (Base-Case)'!O42</f>
        <v>0</v>
      </c>
      <c r="P42" s="101">
        <f>'IS (Bull-Case)'!P42-'IS (Base-Case)'!P42</f>
        <v>0</v>
      </c>
      <c r="Q42" s="101">
        <f>'IS (Bull-Case)'!Q42-'IS (Base-Case)'!Q42</f>
        <v>0</v>
      </c>
      <c r="R42" s="26">
        <f>'IS (Bull-Case)'!R42-'IS (Base-Case)'!R42</f>
        <v>0</v>
      </c>
      <c r="S42" s="101">
        <f>'IS (Bull-Case)'!S42-'IS (Base-Case)'!S42</f>
        <v>0</v>
      </c>
      <c r="T42" s="101">
        <f>'IS (Bull-Case)'!T42-'IS (Base-Case)'!T42</f>
        <v>0</v>
      </c>
      <c r="U42" s="101">
        <f>'IS (Bull-Case)'!U42-'IS (Base-Case)'!U42</f>
        <v>0</v>
      </c>
      <c r="V42" s="33">
        <f>'IS (Bull-Case)'!V42-'IS (Base-Case)'!V42</f>
        <v>0</v>
      </c>
      <c r="W42" s="122">
        <f>'IS (Bull-Case)'!W42-'IS (Base-Case)'!W42</f>
        <v>0</v>
      </c>
      <c r="X42" s="33">
        <f>'IS (Bull-Case)'!X42-'IS (Base-Case)'!X42</f>
        <v>0</v>
      </c>
      <c r="Y42" s="33">
        <f>'IS (Bull-Case)'!Y42-'IS (Base-Case)'!Y42</f>
        <v>0</v>
      </c>
      <c r="Z42" s="33">
        <f>'IS (Bull-Case)'!Z42-'IS (Base-Case)'!Z42</f>
        <v>0</v>
      </c>
      <c r="AA42" s="33">
        <f>'IS (Bull-Case)'!AA42-'IS (Base-Case)'!AA42</f>
        <v>0</v>
      </c>
      <c r="AB42" s="26">
        <f>'IS (Bull-Case)'!AB42-'IS (Base-Case)'!AB42</f>
        <v>0</v>
      </c>
      <c r="AC42" s="33">
        <f>'IS (Bull-Case)'!AC42-'IS (Base-Case)'!AC42</f>
        <v>0</v>
      </c>
      <c r="AD42" s="33">
        <f>'IS (Bull-Case)'!AD42-'IS (Base-Case)'!AD42</f>
        <v>0</v>
      </c>
      <c r="AE42" s="33">
        <f>'IS (Bull-Case)'!AE42-'IS (Base-Case)'!AE42</f>
        <v>0</v>
      </c>
      <c r="AF42" s="33">
        <f>'IS (Bull-Case)'!AF42-'IS (Base-Case)'!AF42</f>
        <v>0</v>
      </c>
      <c r="AG42" s="26">
        <f>'IS (Bull-Case)'!AG42-'IS (Base-Case)'!AG42</f>
        <v>0</v>
      </c>
      <c r="AH42" s="33">
        <f>'IS (Bull-Case)'!AH42-'IS (Base-Case)'!AH42</f>
        <v>0</v>
      </c>
      <c r="AI42" s="33">
        <f>'IS (Bull-Case)'!AI42-'IS (Base-Case)'!AI42</f>
        <v>0</v>
      </c>
      <c r="AJ42" s="33">
        <f>'IS (Bull-Case)'!AJ42-'IS (Base-Case)'!AJ42</f>
        <v>0</v>
      </c>
      <c r="AK42" s="33">
        <f>'IS (Bull-Case)'!AK42-'IS (Base-Case)'!AK42</f>
        <v>0</v>
      </c>
      <c r="AL42" s="26">
        <f>'IS (Bull-Case)'!AL42-'IS (Base-Case)'!AL42</f>
        <v>0</v>
      </c>
      <c r="AM42" s="33">
        <f>'IS (Bull-Case)'!AM42-'IS (Base-Case)'!AM42</f>
        <v>0</v>
      </c>
      <c r="AN42" s="33">
        <f>'IS (Bull-Case)'!AN42-'IS (Base-Case)'!AN42</f>
        <v>0</v>
      </c>
      <c r="AO42" s="33">
        <f>'IS (Bull-Case)'!AO42-'IS (Base-Case)'!AO42</f>
        <v>0</v>
      </c>
      <c r="AP42" s="33">
        <f>'IS (Bull-Case)'!AP42-'IS (Base-Case)'!AP42</f>
        <v>0</v>
      </c>
      <c r="AQ42" s="26">
        <f>'IS (Bull-Case)'!AQ42-'IS (Base-Case)'!AQ42</f>
        <v>0</v>
      </c>
      <c r="AR42" s="33">
        <f>'IS (Bull-Case)'!AR42-'IS (Base-Case)'!AR42</f>
        <v>0</v>
      </c>
      <c r="AS42" s="33">
        <f>'IS (Bull-Case)'!AS42-'IS (Base-Case)'!AS42</f>
        <v>0</v>
      </c>
      <c r="AT42" s="33">
        <f>'IS (Bull-Case)'!AT42-'IS (Base-Case)'!AT42</f>
        <v>0</v>
      </c>
      <c r="AU42" s="33">
        <f>'IS (Bull-Case)'!AU42-'IS (Base-Case)'!AU42</f>
        <v>0</v>
      </c>
      <c r="AV42" s="26">
        <f>'IS (Bull-Case)'!AV42-'IS (Base-Case)'!AV42</f>
        <v>0</v>
      </c>
    </row>
    <row r="43" spans="2:48" outlineLevel="1" x14ac:dyDescent="0.3">
      <c r="B43" s="180" t="s">
        <v>201</v>
      </c>
      <c r="C43" s="201"/>
      <c r="D43" s="101">
        <f>'IS (Bull-Case)'!D43-'IS (Base-Case)'!D43</f>
        <v>0</v>
      </c>
      <c r="E43" s="101">
        <f>'IS (Bull-Case)'!E43-'IS (Base-Case)'!E43</f>
        <v>0</v>
      </c>
      <c r="F43" s="101">
        <f>'IS (Bull-Case)'!F43-'IS (Base-Case)'!F43</f>
        <v>0</v>
      </c>
      <c r="G43" s="101">
        <f>'IS (Bull-Case)'!G43-'IS (Base-Case)'!G43</f>
        <v>0</v>
      </c>
      <c r="H43" s="122">
        <f>'IS (Bull-Case)'!H43-'IS (Base-Case)'!H43</f>
        <v>0</v>
      </c>
      <c r="I43" s="101">
        <f>'IS (Bull-Case)'!I43-'IS (Base-Case)'!I43</f>
        <v>0</v>
      </c>
      <c r="J43" s="101">
        <f>'IS (Bull-Case)'!J43-'IS (Base-Case)'!J43</f>
        <v>0</v>
      </c>
      <c r="K43" s="101">
        <f>'IS (Bull-Case)'!K43-'IS (Base-Case)'!K43</f>
        <v>0</v>
      </c>
      <c r="L43" s="101">
        <f>'IS (Bull-Case)'!L43-'IS (Base-Case)'!L43</f>
        <v>0</v>
      </c>
      <c r="M43" s="122">
        <f>'IS (Bull-Case)'!M43-'IS (Base-Case)'!M43</f>
        <v>0</v>
      </c>
      <c r="N43" s="101">
        <f>'IS (Bull-Case)'!N43-'IS (Base-Case)'!N43</f>
        <v>0</v>
      </c>
      <c r="O43" s="101">
        <f>'IS (Bull-Case)'!O43-'IS (Base-Case)'!O43</f>
        <v>0</v>
      </c>
      <c r="P43" s="101">
        <f>'IS (Bull-Case)'!P43-'IS (Base-Case)'!P43</f>
        <v>0</v>
      </c>
      <c r="Q43" s="101">
        <f>'IS (Bull-Case)'!Q43-'IS (Base-Case)'!Q43</f>
        <v>0</v>
      </c>
      <c r="R43" s="122">
        <f>'IS (Bull-Case)'!R43-'IS (Base-Case)'!R43</f>
        <v>0</v>
      </c>
      <c r="S43" s="101">
        <f>'IS (Bull-Case)'!S43-'IS (Base-Case)'!S43</f>
        <v>0</v>
      </c>
      <c r="T43" s="101">
        <f>'IS (Bull-Case)'!T43-'IS (Base-Case)'!T43</f>
        <v>0</v>
      </c>
      <c r="U43" s="101">
        <f>'IS (Bull-Case)'!U43-'IS (Base-Case)'!U43</f>
        <v>0</v>
      </c>
      <c r="V43" s="101">
        <f>'IS (Bull-Case)'!V43-'IS (Base-Case)'!V43</f>
        <v>0</v>
      </c>
      <c r="W43" s="122">
        <f>'IS (Bull-Case)'!W43-'IS (Base-Case)'!W43</f>
        <v>0</v>
      </c>
      <c r="X43" s="101">
        <f>'IS (Bull-Case)'!X43-'IS (Base-Case)'!X43</f>
        <v>0</v>
      </c>
      <c r="Y43" s="101">
        <f>'IS (Bull-Case)'!Y43-'IS (Base-Case)'!Y43</f>
        <v>0</v>
      </c>
      <c r="Z43" s="101">
        <f>'IS (Bull-Case)'!Z43-'IS (Base-Case)'!Z43</f>
        <v>0</v>
      </c>
      <c r="AA43" s="101">
        <f>'IS (Bull-Case)'!AA43-'IS (Base-Case)'!AA43</f>
        <v>0</v>
      </c>
      <c r="AB43" s="122">
        <f>'IS (Bull-Case)'!AB43-'IS (Base-Case)'!AB43</f>
        <v>0</v>
      </c>
      <c r="AC43" s="101">
        <f>'IS (Bull-Case)'!AC43-'IS (Base-Case)'!AC43</f>
        <v>0</v>
      </c>
      <c r="AD43" s="101">
        <f>'IS (Bull-Case)'!AD43-'IS (Base-Case)'!AD43</f>
        <v>0</v>
      </c>
      <c r="AE43" s="101">
        <f>'IS (Bull-Case)'!AE43-'IS (Base-Case)'!AE43</f>
        <v>0</v>
      </c>
      <c r="AF43" s="101">
        <f>'IS (Bull-Case)'!AF43-'IS (Base-Case)'!AF43</f>
        <v>0</v>
      </c>
      <c r="AG43" s="122">
        <f>'IS (Bull-Case)'!AG43-'IS (Base-Case)'!AG43</f>
        <v>0</v>
      </c>
      <c r="AH43" s="101">
        <f>'IS (Bull-Case)'!AH43-'IS (Base-Case)'!AH43</f>
        <v>0</v>
      </c>
      <c r="AI43" s="101">
        <f>'IS (Bull-Case)'!AI43-'IS (Base-Case)'!AI43</f>
        <v>0</v>
      </c>
      <c r="AJ43" s="101">
        <f>'IS (Bull-Case)'!AJ43-'IS (Base-Case)'!AJ43</f>
        <v>0</v>
      </c>
      <c r="AK43" s="101">
        <f>'IS (Bull-Case)'!AK43-'IS (Base-Case)'!AK43</f>
        <v>0</v>
      </c>
      <c r="AL43" s="122">
        <f>'IS (Bull-Case)'!AL43-'IS (Base-Case)'!AL43</f>
        <v>0</v>
      </c>
      <c r="AM43" s="101">
        <f>'IS (Bull-Case)'!AM43-'IS (Base-Case)'!AM43</f>
        <v>0</v>
      </c>
      <c r="AN43" s="101">
        <f>'IS (Bull-Case)'!AN43-'IS (Base-Case)'!AN43</f>
        <v>0</v>
      </c>
      <c r="AO43" s="101">
        <f>'IS (Bull-Case)'!AO43-'IS (Base-Case)'!AO43</f>
        <v>0</v>
      </c>
      <c r="AP43" s="101">
        <f>'IS (Bull-Case)'!AP43-'IS (Base-Case)'!AP43</f>
        <v>0</v>
      </c>
      <c r="AQ43" s="122">
        <f>'IS (Bull-Case)'!AQ43-'IS (Base-Case)'!AQ43</f>
        <v>0</v>
      </c>
      <c r="AR43" s="101">
        <f>'IS (Bull-Case)'!AR43-'IS (Base-Case)'!AR43</f>
        <v>0</v>
      </c>
      <c r="AS43" s="101">
        <f>'IS (Bull-Case)'!AS43-'IS (Base-Case)'!AS43</f>
        <v>0</v>
      </c>
      <c r="AT43" s="101">
        <f>'IS (Bull-Case)'!AT43-'IS (Base-Case)'!AT43</f>
        <v>0</v>
      </c>
      <c r="AU43" s="101">
        <f>'IS (Bull-Case)'!AU43-'IS (Base-Case)'!AU43</f>
        <v>0</v>
      </c>
      <c r="AV43" s="122">
        <f>'IS (Bull-Case)'!AV43-'IS (Base-Case)'!AV43</f>
        <v>0</v>
      </c>
    </row>
    <row r="44" spans="2:48" s="8" customFormat="1" outlineLevel="1" x14ac:dyDescent="0.3">
      <c r="B44" s="180" t="s">
        <v>205</v>
      </c>
      <c r="C44" s="206"/>
      <c r="D44" s="43">
        <f>'IS (Bull-Case)'!D44-'IS (Base-Case)'!D44</f>
        <v>0</v>
      </c>
      <c r="E44" s="43">
        <f>'IS (Bull-Case)'!E44-'IS (Base-Case)'!E44</f>
        <v>0</v>
      </c>
      <c r="F44" s="43">
        <f>'IS (Bull-Case)'!F44-'IS (Base-Case)'!F44</f>
        <v>0</v>
      </c>
      <c r="G44" s="43">
        <f>'IS (Bull-Case)'!G44-'IS (Base-Case)'!G44</f>
        <v>0</v>
      </c>
      <c r="H44" s="97">
        <f>'IS (Bull-Case)'!H44-'IS (Base-Case)'!H44</f>
        <v>0</v>
      </c>
      <c r="I44" s="43">
        <f>'IS (Bull-Case)'!I44-'IS (Base-Case)'!I44</f>
        <v>0</v>
      </c>
      <c r="J44" s="43">
        <f>'IS (Bull-Case)'!J44-'IS (Base-Case)'!J44</f>
        <v>0</v>
      </c>
      <c r="K44" s="43">
        <f>'IS (Bull-Case)'!K44-'IS (Base-Case)'!K44</f>
        <v>0</v>
      </c>
      <c r="L44" s="43">
        <f>'IS (Bull-Case)'!L44-'IS (Base-Case)'!L44</f>
        <v>0</v>
      </c>
      <c r="M44" s="97">
        <f>'IS (Bull-Case)'!M44-'IS (Base-Case)'!M44</f>
        <v>0</v>
      </c>
      <c r="N44" s="43">
        <f>'IS (Bull-Case)'!N44-'IS (Base-Case)'!N44</f>
        <v>0</v>
      </c>
      <c r="O44" s="43">
        <f>'IS (Bull-Case)'!O44-'IS (Base-Case)'!O44</f>
        <v>0</v>
      </c>
      <c r="P44" s="43">
        <f>'IS (Bull-Case)'!P44-'IS (Base-Case)'!P44</f>
        <v>0</v>
      </c>
      <c r="Q44" s="43">
        <f>'IS (Bull-Case)'!Q44-'IS (Base-Case)'!Q44</f>
        <v>0</v>
      </c>
      <c r="R44" s="97">
        <f>'IS (Bull-Case)'!R44-'IS (Base-Case)'!R44</f>
        <v>0</v>
      </c>
      <c r="S44" s="43">
        <f>'IS (Bull-Case)'!S44-'IS (Base-Case)'!S44</f>
        <v>0</v>
      </c>
      <c r="T44" s="43">
        <f>'IS (Bull-Case)'!T44-'IS (Base-Case)'!T44</f>
        <v>0</v>
      </c>
      <c r="U44" s="43">
        <f>'IS (Bull-Case)'!U44-'IS (Base-Case)'!U44</f>
        <v>0</v>
      </c>
      <c r="V44" s="219">
        <f>'IS (Bull-Case)'!V44-'IS (Base-Case)'!V44</f>
        <v>0</v>
      </c>
      <c r="W44" s="132">
        <f>'IS (Bull-Case)'!W44-'IS (Base-Case)'!W44</f>
        <v>0</v>
      </c>
      <c r="X44" s="219">
        <f>'IS (Bull-Case)'!X44-'IS (Base-Case)'!X44</f>
        <v>7.9157431304083259E-3</v>
      </c>
      <c r="Y44" s="219">
        <f>'IS (Bull-Case)'!Y44-'IS (Base-Case)'!Y44</f>
        <v>7.4588999697793312E-3</v>
      </c>
      <c r="Z44" s="219">
        <f>'IS (Bull-Case)'!Z44-'IS (Base-Case)'!Z44</f>
        <v>8.2681463707258152E-3</v>
      </c>
      <c r="AA44" s="219">
        <f>'IS (Bull-Case)'!AA44-'IS (Base-Case)'!AA44</f>
        <v>8.0728811926372712E-3</v>
      </c>
      <c r="AB44" s="97">
        <f>'IS (Bull-Case)'!AB44-'IS (Base-Case)'!AB44</f>
        <v>0</v>
      </c>
      <c r="AC44" s="219">
        <f>'IS (Bull-Case)'!AC44-'IS (Base-Case)'!AC44</f>
        <v>1.6900111583421751E-2</v>
      </c>
      <c r="AD44" s="219">
        <f>'IS (Bull-Case)'!AD44-'IS (Base-Case)'!AD44</f>
        <v>1.592475143547889E-2</v>
      </c>
      <c r="AE44" s="219">
        <f>'IS (Bull-Case)'!AE44-'IS (Base-Case)'!AE44</f>
        <v>1.7487129574085047E-2</v>
      </c>
      <c r="AF44" s="219">
        <f>'IS (Bull-Case)'!AF44-'IS (Base-Case)'!AF44</f>
        <v>1.707414372242777E-2</v>
      </c>
      <c r="AG44" s="97">
        <f>'IS (Bull-Case)'!AG44-'IS (Base-Case)'!AG44</f>
        <v>0</v>
      </c>
      <c r="AH44" s="219">
        <f>'IS (Bull-Case)'!AH44-'IS (Base-Case)'!AH44</f>
        <v>2.7229958475026406E-2</v>
      </c>
      <c r="AI44" s="219">
        <f>'IS (Bull-Case)'!AI44-'IS (Base-Case)'!AI44</f>
        <v>2.5658429423541684E-2</v>
      </c>
      <c r="AJ44" s="219">
        <f>'IS (Bull-Case)'!AJ44-'IS (Base-Case)'!AJ44</f>
        <v>2.808916696160757E-2</v>
      </c>
      <c r="AK44" s="219">
        <f>'IS (Bull-Case)'!AK44-'IS (Base-Case)'!AK44</f>
        <v>2.7425797453716649E-2</v>
      </c>
      <c r="AL44" s="97">
        <f>'IS (Bull-Case)'!AL44-'IS (Base-Case)'!AL44</f>
        <v>0</v>
      </c>
      <c r="AM44" s="219">
        <f>'IS (Bull-Case)'!AM44-'IS (Base-Case)'!AM44</f>
        <v>2.8591456398777693E-2</v>
      </c>
      <c r="AN44" s="219">
        <f>'IS (Bull-Case)'!AN44-'IS (Base-Case)'!AN44</f>
        <v>2.6941350894718719E-2</v>
      </c>
      <c r="AO44" s="219">
        <f>'IS (Bull-Case)'!AO44-'IS (Base-Case)'!AO44</f>
        <v>2.9493625309688021E-2</v>
      </c>
      <c r="AP44" s="219">
        <f>'IS (Bull-Case)'!AP44-'IS (Base-Case)'!AP44</f>
        <v>2.8797087326402515E-2</v>
      </c>
      <c r="AQ44" s="97">
        <f>'IS (Bull-Case)'!AQ44-'IS (Base-Case)'!AQ44</f>
        <v>0</v>
      </c>
      <c r="AR44" s="219">
        <f>'IS (Bull-Case)'!AR44-'IS (Base-Case)'!AR44</f>
        <v>2.9449200090741035E-2</v>
      </c>
      <c r="AS44" s="219">
        <f>'IS (Bull-Case)'!AS44-'IS (Base-Case)'!AS44</f>
        <v>2.7749591421560305E-2</v>
      </c>
      <c r="AT44" s="219">
        <f>'IS (Bull-Case)'!AT44-'IS (Base-Case)'!AT44</f>
        <v>3.0378434068978666E-2</v>
      </c>
      <c r="AU44" s="219">
        <f>'IS (Bull-Case)'!AU44-'IS (Base-Case)'!AU44</f>
        <v>2.9660999946194533E-2</v>
      </c>
      <c r="AV44" s="97">
        <f>'IS (Bull-Case)'!AV44-'IS (Base-Case)'!AV44</f>
        <v>0</v>
      </c>
    </row>
    <row r="45" spans="2:48" s="8" customFormat="1" outlineLevel="1" x14ac:dyDescent="0.3">
      <c r="B45" s="445" t="s">
        <v>176</v>
      </c>
      <c r="C45" s="446"/>
      <c r="D45" s="50">
        <f>'IS (Bull-Case)'!D45-'IS (Base-Case)'!D45</f>
        <v>0</v>
      </c>
      <c r="E45" s="50">
        <f>'IS (Bull-Case)'!E45-'IS (Base-Case)'!E45</f>
        <v>0</v>
      </c>
      <c r="F45" s="50">
        <f>'IS (Bull-Case)'!F45-'IS (Base-Case)'!F45</f>
        <v>0</v>
      </c>
      <c r="G45" s="50">
        <f>'IS (Bull-Case)'!G45-'IS (Base-Case)'!G45</f>
        <v>0</v>
      </c>
      <c r="H45" s="97">
        <f>'IS (Bull-Case)'!H45-'IS (Base-Case)'!H45</f>
        <v>0</v>
      </c>
      <c r="I45" s="50">
        <f>'IS (Bull-Case)'!I45-'IS (Base-Case)'!I45</f>
        <v>0</v>
      </c>
      <c r="J45" s="50">
        <f>'IS (Bull-Case)'!J45-'IS (Base-Case)'!J45</f>
        <v>0</v>
      </c>
      <c r="K45" s="103">
        <f>'IS (Bull-Case)'!K45-'IS (Base-Case)'!K45</f>
        <v>0</v>
      </c>
      <c r="L45" s="50">
        <f>'IS (Bull-Case)'!L45-'IS (Base-Case)'!L45</f>
        <v>0</v>
      </c>
      <c r="M45" s="97">
        <f>'IS (Bull-Case)'!M45-'IS (Base-Case)'!M45</f>
        <v>0</v>
      </c>
      <c r="N45" s="50">
        <f>'IS (Bull-Case)'!N45-'IS (Base-Case)'!N45</f>
        <v>0</v>
      </c>
      <c r="O45" s="50">
        <f>'IS (Bull-Case)'!O45-'IS (Base-Case)'!O45</f>
        <v>0</v>
      </c>
      <c r="P45" s="50">
        <f>'IS (Bull-Case)'!P45-'IS (Base-Case)'!P45</f>
        <v>0</v>
      </c>
      <c r="Q45" s="103">
        <f>'IS (Bull-Case)'!Q45-'IS (Base-Case)'!Q45</f>
        <v>0</v>
      </c>
      <c r="R45" s="132">
        <f>'IS (Bull-Case)'!R45-'IS (Base-Case)'!R45</f>
        <v>0</v>
      </c>
      <c r="S45" s="50">
        <f>'IS (Bull-Case)'!S45-'IS (Base-Case)'!S45</f>
        <v>0</v>
      </c>
      <c r="T45" s="50">
        <f>'IS (Bull-Case)'!T45-'IS (Base-Case)'!T45</f>
        <v>0</v>
      </c>
      <c r="U45" s="50">
        <f>'IS (Bull-Case)'!U45-'IS (Base-Case)'!U45</f>
        <v>0</v>
      </c>
      <c r="V45" s="50">
        <f>'IS (Bull-Case)'!V45-'IS (Base-Case)'!V45</f>
        <v>0</v>
      </c>
      <c r="W45" s="132">
        <f>'IS (Bull-Case)'!W45-'IS (Base-Case)'!W45</f>
        <v>0</v>
      </c>
      <c r="X45" s="50">
        <f>'IS (Bull-Case)'!X45-'IS (Base-Case)'!X45</f>
        <v>80.552581030818146</v>
      </c>
      <c r="Y45" s="50">
        <f>'IS (Bull-Case)'!Y45-'IS (Base-Case)'!Y45</f>
        <v>76.354894265637995</v>
      </c>
      <c r="Z45" s="50">
        <f>'IS (Bull-Case)'!Z45-'IS (Base-Case)'!Z45</f>
        <v>85.139170215956256</v>
      </c>
      <c r="AA45" s="50">
        <f>'IS (Bull-Case)'!AA45-'IS (Base-Case)'!AA45</f>
        <v>83.616885173038099</v>
      </c>
      <c r="AB45" s="97">
        <f>'IS (Bull-Case)'!AB45-'IS (Base-Case)'!AB45</f>
        <v>325.66353068545141</v>
      </c>
      <c r="AC45" s="50">
        <f>'IS (Bull-Case)'!AC45-'IS (Base-Case)'!AC45</f>
        <v>176.16676314558754</v>
      </c>
      <c r="AD45" s="50">
        <f>'IS (Bull-Case)'!AD45-'IS (Base-Case)'!AD45</f>
        <v>167.14619106678674</v>
      </c>
      <c r="AE45" s="50">
        <f>'IS (Bull-Case)'!AE45-'IS (Base-Case)'!AE45</f>
        <v>184.81272890371747</v>
      </c>
      <c r="AF45" s="50">
        <f>'IS (Bull-Case)'!AF45-'IS (Base-Case)'!AF45</f>
        <v>181.69450042221524</v>
      </c>
      <c r="AG45" s="97">
        <f>'IS (Bull-Case)'!AG45-'IS (Base-Case)'!AG45</f>
        <v>709.82018353831154</v>
      </c>
      <c r="AH45" s="50">
        <f>'IS (Bull-Case)'!AH45-'IS (Base-Case)'!AH45</f>
        <v>291.93238481075787</v>
      </c>
      <c r="AI45" s="50">
        <f>'IS (Bull-Case)'!AI45-'IS (Base-Case)'!AI45</f>
        <v>277.29064678021496</v>
      </c>
      <c r="AJ45" s="50">
        <f>'IS (Bull-Case)'!AJ45-'IS (Base-Case)'!AJ45</f>
        <v>305.9752957127921</v>
      </c>
      <c r="AK45" s="50">
        <f>'IS (Bull-Case)'!AK45-'IS (Base-Case)'!AK45</f>
        <v>301.10783024435568</v>
      </c>
      <c r="AL45" s="97">
        <f>'IS (Bull-Case)'!AL45-'IS (Base-Case)'!AL45</f>
        <v>1176.3061575481224</v>
      </c>
      <c r="AM45" s="50">
        <f>'IS (Bull-Case)'!AM45-'IS (Base-Case)'!AM45</f>
        <v>316.50742233446908</v>
      </c>
      <c r="AN45" s="50">
        <f>'IS (Bull-Case)'!AN45-'IS (Base-Case)'!AN45</f>
        <v>300.8271240904287</v>
      </c>
      <c r="AO45" s="50">
        <f>'IS (Bull-Case)'!AO45-'IS (Base-Case)'!AO45</f>
        <v>332.15720823770607</v>
      </c>
      <c r="AP45" s="50">
        <f>'IS (Bull-Case)'!AP45-'IS (Base-Case)'!AP45</f>
        <v>327.07731785327996</v>
      </c>
      <c r="AQ45" s="97">
        <f>'IS (Bull-Case)'!AQ45-'IS (Base-Case)'!AQ45</f>
        <v>1276.569072515882</v>
      </c>
      <c r="AR45" s="50">
        <f>'IS (Bull-Case)'!AR45-'IS (Base-Case)'!AR45</f>
        <v>337.3111378393487</v>
      </c>
      <c r="AS45" s="50">
        <f>'IS (Bull-Case)'!AS45-'IS (Base-Case)'!AS45</f>
        <v>320.50778091902157</v>
      </c>
      <c r="AT45" s="50">
        <f>'IS (Bull-Case)'!AT45-'IS (Base-Case)'!AT45</f>
        <v>353.78724316732496</v>
      </c>
      <c r="AU45" s="50">
        <f>'IS (Bull-Case)'!AU45-'IS (Base-Case)'!AU45</f>
        <v>348.27946136821538</v>
      </c>
      <c r="AV45" s="97">
        <f>'IS (Bull-Case)'!AV45-'IS (Base-Case)'!AV45</f>
        <v>1359.8856232939143</v>
      </c>
    </row>
    <row r="46" spans="2:48" s="8" customFormat="1" outlineLevel="1" x14ac:dyDescent="0.3">
      <c r="B46" s="38" t="s">
        <v>200</v>
      </c>
      <c r="C46" s="206"/>
      <c r="D46" s="43">
        <f>'IS (Bull-Case)'!D46-'IS (Base-Case)'!D46</f>
        <v>0</v>
      </c>
      <c r="E46" s="43">
        <f>'IS (Bull-Case)'!E46-'IS (Base-Case)'!E46</f>
        <v>0</v>
      </c>
      <c r="F46" s="43">
        <f>'IS (Bull-Case)'!F46-'IS (Base-Case)'!F46</f>
        <v>0</v>
      </c>
      <c r="G46" s="43">
        <f>'IS (Bull-Case)'!G46-'IS (Base-Case)'!G46</f>
        <v>0</v>
      </c>
      <c r="H46" s="97">
        <f>'IS (Bull-Case)'!H46-'IS (Base-Case)'!H46</f>
        <v>0</v>
      </c>
      <c r="I46" s="27">
        <f>'IS (Bull-Case)'!I46-'IS (Base-Case)'!I46</f>
        <v>0</v>
      </c>
      <c r="J46" s="27">
        <f>'IS (Bull-Case)'!J46-'IS (Base-Case)'!J46</f>
        <v>0</v>
      </c>
      <c r="K46" s="27">
        <f>'IS (Bull-Case)'!K46-'IS (Base-Case)'!K46</f>
        <v>0</v>
      </c>
      <c r="L46" s="27">
        <f>'IS (Bull-Case)'!L46-'IS (Base-Case)'!L46</f>
        <v>0</v>
      </c>
      <c r="M46" s="97">
        <f>'IS (Bull-Case)'!M46-'IS (Base-Case)'!M46</f>
        <v>0</v>
      </c>
      <c r="N46" s="27">
        <f>'IS (Bull-Case)'!N46-'IS (Base-Case)'!N46</f>
        <v>0</v>
      </c>
      <c r="O46" s="27">
        <f>'IS (Bull-Case)'!O46-'IS (Base-Case)'!O46</f>
        <v>0</v>
      </c>
      <c r="P46" s="27">
        <f>'IS (Bull-Case)'!P46-'IS (Base-Case)'!P46</f>
        <v>0</v>
      </c>
      <c r="Q46" s="27">
        <f>'IS (Bull-Case)'!Q46-'IS (Base-Case)'!Q46</f>
        <v>0</v>
      </c>
      <c r="R46" s="97">
        <f>'IS (Bull-Case)'!R46-'IS (Base-Case)'!R46</f>
        <v>0</v>
      </c>
      <c r="S46" s="27">
        <f>'IS (Bull-Case)'!S46-'IS (Base-Case)'!S46</f>
        <v>0</v>
      </c>
      <c r="T46" s="27">
        <f>'IS (Bull-Case)'!T46-'IS (Base-Case)'!T46</f>
        <v>0</v>
      </c>
      <c r="U46" s="27">
        <f>'IS (Bull-Case)'!U46-'IS (Base-Case)'!U46</f>
        <v>0</v>
      </c>
      <c r="V46" s="27">
        <f>'IS (Bull-Case)'!V46-'IS (Base-Case)'!V46</f>
        <v>0</v>
      </c>
      <c r="W46" s="98">
        <f>'IS (Bull-Case)'!W46-'IS (Base-Case)'!W46</f>
        <v>0</v>
      </c>
      <c r="X46" s="27">
        <f>'IS (Bull-Case)'!X46-'IS (Base-Case)'!X46</f>
        <v>1.5448990435706689E-2</v>
      </c>
      <c r="Y46" s="27">
        <f>'IS (Bull-Case)'!Y46-'IS (Base-Case)'!Y46</f>
        <v>1.5468041704442159E-2</v>
      </c>
      <c r="Z46" s="27">
        <f>'IS (Bull-Case)'!Z46-'IS (Base-Case)'!Z46</f>
        <v>1.5442786442711354E-2</v>
      </c>
      <c r="AA46" s="27">
        <f>'IS (Bull-Case)'!AA46-'IS (Base-Case)'!AA46</f>
        <v>1.5385843731431814E-2</v>
      </c>
      <c r="AB46" s="98">
        <f>'IS (Bull-Case)'!AB46-'IS (Base-Case)'!AB46</f>
        <v>1.5435560791551506E-2</v>
      </c>
      <c r="AC46" s="27">
        <f>'IS (Bull-Case)'!AC46-'IS (Base-Case)'!AC46</f>
        <v>1.5365188551774711E-2</v>
      </c>
      <c r="AD46" s="27">
        <f>'IS (Bull-Case)'!AD46-'IS (Base-Case)'!AD46</f>
        <v>1.5379881309986132E-2</v>
      </c>
      <c r="AE46" s="27">
        <f>'IS (Bull-Case)'!AE46-'IS (Base-Case)'!AE46</f>
        <v>1.5395129767656224E-2</v>
      </c>
      <c r="AF46" s="27">
        <f>'IS (Bull-Case)'!AF46-'IS (Base-Case)'!AF46</f>
        <v>1.5410924187202912E-2</v>
      </c>
      <c r="AG46" s="98">
        <f>'IS (Bull-Case)'!AG46-'IS (Base-Case)'!AG46</f>
        <v>1.5388202747775859E-2</v>
      </c>
      <c r="AH46" s="27">
        <f>'IS (Bull-Case)'!AH46-'IS (Base-Case)'!AH46</f>
        <v>1.5427379125096063E-2</v>
      </c>
      <c r="AI46" s="27">
        <f>'IS (Bull-Case)'!AI46-'IS (Base-Case)'!AI46</f>
        <v>1.5444455030487747E-2</v>
      </c>
      <c r="AJ46" s="27">
        <f>'IS (Bull-Case)'!AJ46-'IS (Base-Case)'!AJ46</f>
        <v>1.5460566778634943E-2</v>
      </c>
      <c r="AK46" s="27">
        <f>'IS (Bull-Case)'!AK46-'IS (Base-Case)'!AK46</f>
        <v>1.5475731804726722E-2</v>
      </c>
      <c r="AL46" s="98">
        <f>'IS (Bull-Case)'!AL46-'IS (Base-Case)'!AL46</f>
        <v>1.545249558358508E-2</v>
      </c>
      <c r="AM46" s="27">
        <f>'IS (Bull-Case)'!AM46-'IS (Base-Case)'!AM46</f>
        <v>0</v>
      </c>
      <c r="AN46" s="27">
        <f>'IS (Bull-Case)'!AN46-'IS (Base-Case)'!AN46</f>
        <v>-2.2204460492503131E-16</v>
      </c>
      <c r="AO46" s="27">
        <f>'IS (Bull-Case)'!AO46-'IS (Base-Case)'!AO46</f>
        <v>0</v>
      </c>
      <c r="AP46" s="27">
        <f>'IS (Bull-Case)'!AP46-'IS (Base-Case)'!AP46</f>
        <v>0</v>
      </c>
      <c r="AQ46" s="98">
        <f>'IS (Bull-Case)'!AQ46-'IS (Base-Case)'!AQ46</f>
        <v>9.0990566858906163E-8</v>
      </c>
      <c r="AR46" s="27">
        <f>'IS (Bull-Case)'!AR46-'IS (Base-Case)'!AR46</f>
        <v>2.2204460492503131E-16</v>
      </c>
      <c r="AS46" s="27">
        <f>'IS (Bull-Case)'!AS46-'IS (Base-Case)'!AS46</f>
        <v>0</v>
      </c>
      <c r="AT46" s="27">
        <f>'IS (Bull-Case)'!AT46-'IS (Base-Case)'!AT46</f>
        <v>0</v>
      </c>
      <c r="AU46" s="27">
        <f>'IS (Bull-Case)'!AU46-'IS (Base-Case)'!AU46</f>
        <v>-2.2204460492503131E-16</v>
      </c>
      <c r="AV46" s="98">
        <f>'IS (Bull-Case)'!AV46-'IS (Base-Case)'!AV46</f>
        <v>-3.9901055570723543E-8</v>
      </c>
    </row>
    <row r="47" spans="2:48" outlineLevel="1" x14ac:dyDescent="0.3">
      <c r="B47" s="220" t="s">
        <v>44</v>
      </c>
      <c r="C47" s="221"/>
      <c r="D47" s="222">
        <f>'IS (Bull-Case)'!D47-'IS (Base-Case)'!D47</f>
        <v>0</v>
      </c>
      <c r="E47" s="222">
        <f>'IS (Bull-Case)'!E47-'IS (Base-Case)'!E47</f>
        <v>0</v>
      </c>
      <c r="F47" s="222">
        <f>'IS (Bull-Case)'!F47-'IS (Base-Case)'!F47</f>
        <v>0</v>
      </c>
      <c r="G47" s="222">
        <f>'IS (Bull-Case)'!G47-'IS (Base-Case)'!G47</f>
        <v>0</v>
      </c>
      <c r="H47" s="223">
        <f>'IS (Bull-Case)'!H47-'IS (Base-Case)'!H47</f>
        <v>0</v>
      </c>
      <c r="I47" s="222">
        <f>'IS (Bull-Case)'!I47-'IS (Base-Case)'!I47</f>
        <v>0</v>
      </c>
      <c r="J47" s="222">
        <f>'IS (Bull-Case)'!J47-'IS (Base-Case)'!J47</f>
        <v>0</v>
      </c>
      <c r="K47" s="222">
        <f>'IS (Bull-Case)'!K47-'IS (Base-Case)'!K47</f>
        <v>0</v>
      </c>
      <c r="L47" s="224">
        <f>'IS (Bull-Case)'!L47-'IS (Base-Case)'!L47</f>
        <v>0</v>
      </c>
      <c r="M47" s="223">
        <f>'IS (Bull-Case)'!M47-'IS (Base-Case)'!M47</f>
        <v>0</v>
      </c>
      <c r="N47" s="222">
        <f>'IS (Bull-Case)'!N47-'IS (Base-Case)'!N47</f>
        <v>0</v>
      </c>
      <c r="O47" s="222">
        <f>'IS (Bull-Case)'!O47-'IS (Base-Case)'!O47</f>
        <v>0</v>
      </c>
      <c r="P47" s="222">
        <f>'IS (Bull-Case)'!P47-'IS (Base-Case)'!P47</f>
        <v>0</v>
      </c>
      <c r="Q47" s="222">
        <f>'IS (Bull-Case)'!Q47-'IS (Base-Case)'!Q47</f>
        <v>0</v>
      </c>
      <c r="R47" s="225">
        <f>'IS (Bull-Case)'!R47-'IS (Base-Case)'!R47</f>
        <v>0</v>
      </c>
      <c r="S47" s="224">
        <f>'IS (Bull-Case)'!S47-'IS (Base-Case)'!S47</f>
        <v>0</v>
      </c>
      <c r="T47" s="224">
        <f>'IS (Bull-Case)'!T47-'IS (Base-Case)'!T47</f>
        <v>0</v>
      </c>
      <c r="U47" s="224">
        <f>'IS (Bull-Case)'!U47-'IS (Base-Case)'!U47</f>
        <v>0</v>
      </c>
      <c r="V47" s="224">
        <f>'IS (Bull-Case)'!V47-'IS (Base-Case)'!V47</f>
        <v>0</v>
      </c>
      <c r="W47" s="223">
        <f>'IS (Bull-Case)'!W47-'IS (Base-Case)'!W47</f>
        <v>0</v>
      </c>
      <c r="X47" s="224">
        <f>'IS (Bull-Case)'!X47-'IS (Base-Case)'!X47</f>
        <v>0</v>
      </c>
      <c r="Y47" s="224">
        <f>'IS (Bull-Case)'!Y47-'IS (Base-Case)'!Y47</f>
        <v>0</v>
      </c>
      <c r="Z47" s="224">
        <f>'IS (Bull-Case)'!Z47-'IS (Base-Case)'!Z47</f>
        <v>0</v>
      </c>
      <c r="AA47" s="224">
        <f>'IS (Bull-Case)'!AA47-'IS (Base-Case)'!AA47</f>
        <v>0</v>
      </c>
      <c r="AB47" s="376">
        <f>'IS (Bull-Case)'!AB47-'IS (Base-Case)'!AB47</f>
        <v>1.5425135367336251E-2</v>
      </c>
      <c r="AC47" s="224">
        <f>'IS (Bull-Case)'!AC47-'IS (Base-Case)'!AC47</f>
        <v>0</v>
      </c>
      <c r="AD47" s="224">
        <f>'IS (Bull-Case)'!AD47-'IS (Base-Case)'!AD47</f>
        <v>0</v>
      </c>
      <c r="AE47" s="224">
        <f>'IS (Bull-Case)'!AE47-'IS (Base-Case)'!AE47</f>
        <v>0</v>
      </c>
      <c r="AF47" s="224">
        <f>'IS (Bull-Case)'!AF47-'IS (Base-Case)'!AF47</f>
        <v>0</v>
      </c>
      <c r="AG47" s="225">
        <f>'IS (Bull-Case)'!AG47-'IS (Base-Case)'!AG47</f>
        <v>0</v>
      </c>
      <c r="AH47" s="224">
        <f>'IS (Bull-Case)'!AH47-'IS (Base-Case)'!AH47</f>
        <v>0</v>
      </c>
      <c r="AI47" s="224">
        <f>'IS (Bull-Case)'!AI47-'IS (Base-Case)'!AI47</f>
        <v>0</v>
      </c>
      <c r="AJ47" s="224">
        <f>'IS (Bull-Case)'!AJ47-'IS (Base-Case)'!AJ47</f>
        <v>0</v>
      </c>
      <c r="AK47" s="224">
        <f>'IS (Bull-Case)'!AK47-'IS (Base-Case)'!AK47</f>
        <v>0</v>
      </c>
      <c r="AL47" s="225">
        <f>'IS (Bull-Case)'!AL47-'IS (Base-Case)'!AL47</f>
        <v>0</v>
      </c>
      <c r="AM47" s="224">
        <f>'IS (Bull-Case)'!AM47-'IS (Base-Case)'!AM47</f>
        <v>0</v>
      </c>
      <c r="AN47" s="224">
        <f>'IS (Bull-Case)'!AN47-'IS (Base-Case)'!AN47</f>
        <v>0</v>
      </c>
      <c r="AO47" s="224">
        <f>'IS (Bull-Case)'!AO47-'IS (Base-Case)'!AO47</f>
        <v>0</v>
      </c>
      <c r="AP47" s="224">
        <f>'IS (Bull-Case)'!AP47-'IS (Base-Case)'!AP47</f>
        <v>0</v>
      </c>
      <c r="AQ47" s="225">
        <f>'IS (Bull-Case)'!AQ47-'IS (Base-Case)'!AQ47</f>
        <v>0</v>
      </c>
      <c r="AR47" s="224">
        <f>'IS (Bull-Case)'!AR47-'IS (Base-Case)'!AR47</f>
        <v>0</v>
      </c>
      <c r="AS47" s="224">
        <f>'IS (Bull-Case)'!AS47-'IS (Base-Case)'!AS47</f>
        <v>0</v>
      </c>
      <c r="AT47" s="224">
        <f>'IS (Bull-Case)'!AT47-'IS (Base-Case)'!AT47</f>
        <v>0</v>
      </c>
      <c r="AU47" s="224">
        <f>'IS (Bull-Case)'!AU47-'IS (Base-Case)'!AU47</f>
        <v>0</v>
      </c>
      <c r="AV47" s="225">
        <f>'IS (Bull-Case)'!AV47-'IS (Base-Case)'!AV47</f>
        <v>0</v>
      </c>
    </row>
    <row r="48" spans="2:48" outlineLevel="1" x14ac:dyDescent="0.3">
      <c r="B48" s="38" t="s">
        <v>43</v>
      </c>
      <c r="C48" s="207"/>
      <c r="D48" s="226">
        <f>'IS (Bull-Case)'!D48-'IS (Base-Case)'!D48</f>
        <v>0</v>
      </c>
      <c r="E48" s="226">
        <f>'IS (Bull-Case)'!E48-'IS (Base-Case)'!E48</f>
        <v>0</v>
      </c>
      <c r="F48" s="226">
        <f>'IS (Bull-Case)'!F48-'IS (Base-Case)'!F48</f>
        <v>0</v>
      </c>
      <c r="G48" s="226">
        <f>'IS (Bull-Case)'!G48-'IS (Base-Case)'!G48</f>
        <v>0</v>
      </c>
      <c r="H48" s="217">
        <f>'IS (Bull-Case)'!H48-'IS (Base-Case)'!H48</f>
        <v>0</v>
      </c>
      <c r="I48" s="226">
        <f>'IS (Bull-Case)'!I48-'IS (Base-Case)'!I48</f>
        <v>0</v>
      </c>
      <c r="J48" s="226">
        <f>'IS (Bull-Case)'!J48-'IS (Base-Case)'!J48</f>
        <v>0</v>
      </c>
      <c r="K48" s="226">
        <f>'IS (Bull-Case)'!K48-'IS (Base-Case)'!K48</f>
        <v>0</v>
      </c>
      <c r="L48" s="227">
        <f>'IS (Bull-Case)'!L48-'IS (Base-Case)'!L48</f>
        <v>0</v>
      </c>
      <c r="M48" s="217">
        <f>'IS (Bull-Case)'!M48-'IS (Base-Case)'!M48</f>
        <v>0</v>
      </c>
      <c r="N48" s="226">
        <f>'IS (Bull-Case)'!N48-'IS (Base-Case)'!N48</f>
        <v>0</v>
      </c>
      <c r="O48" s="226">
        <f>'IS (Bull-Case)'!O48-'IS (Base-Case)'!O48</f>
        <v>0</v>
      </c>
      <c r="P48" s="226">
        <f>'IS (Bull-Case)'!P48-'IS (Base-Case)'!P48</f>
        <v>0</v>
      </c>
      <c r="Q48" s="226">
        <f>'IS (Bull-Case)'!Q48-'IS (Base-Case)'!Q48</f>
        <v>0</v>
      </c>
      <c r="R48" s="218">
        <f>'IS (Bull-Case)'!R48-'IS (Base-Case)'!R48</f>
        <v>0</v>
      </c>
      <c r="S48" s="227">
        <f>'IS (Bull-Case)'!S48-'IS (Base-Case)'!S48</f>
        <v>0</v>
      </c>
      <c r="T48" s="227">
        <f>'IS (Bull-Case)'!T48-'IS (Base-Case)'!T48</f>
        <v>0</v>
      </c>
      <c r="U48" s="228">
        <f>'IS (Bull-Case)'!U48-'IS (Base-Case)'!U48</f>
        <v>0</v>
      </c>
      <c r="V48" s="228">
        <f>'IS (Bull-Case)'!V48-'IS (Base-Case)'!V48</f>
        <v>0</v>
      </c>
      <c r="W48" s="148">
        <f>'IS (Bull-Case)'!W48-'IS (Base-Case)'!W48</f>
        <v>0</v>
      </c>
      <c r="X48" s="228">
        <f>'IS (Bull-Case)'!X48-'IS (Base-Case)'!X48</f>
        <v>0</v>
      </c>
      <c r="Y48" s="228">
        <f>'IS (Bull-Case)'!Y48-'IS (Base-Case)'!Y48</f>
        <v>0</v>
      </c>
      <c r="Z48" s="228">
        <f>'IS (Bull-Case)'!Z48-'IS (Base-Case)'!Z48</f>
        <v>0</v>
      </c>
      <c r="AA48" s="228">
        <f>'IS (Bull-Case)'!AA48-'IS (Base-Case)'!AA48</f>
        <v>0</v>
      </c>
      <c r="AB48" s="362">
        <f>'IS (Bull-Case)'!AB48-'IS (Base-Case)'!AB48</f>
        <v>0</v>
      </c>
      <c r="AC48" s="228">
        <f>'IS (Bull-Case)'!AC48-'IS (Base-Case)'!AC48</f>
        <v>0</v>
      </c>
      <c r="AD48" s="228">
        <f>'IS (Bull-Case)'!AD48-'IS (Base-Case)'!AD48</f>
        <v>0</v>
      </c>
      <c r="AE48" s="228">
        <f>'IS (Bull-Case)'!AE48-'IS (Base-Case)'!AE48</f>
        <v>0</v>
      </c>
      <c r="AF48" s="228">
        <f>'IS (Bull-Case)'!AF48-'IS (Base-Case)'!AF48</f>
        <v>0</v>
      </c>
      <c r="AG48" s="60">
        <f>'IS (Bull-Case)'!AG48-'IS (Base-Case)'!AG48</f>
        <v>0</v>
      </c>
      <c r="AH48" s="228">
        <f>'IS (Bull-Case)'!AH48-'IS (Base-Case)'!AH48</f>
        <v>0</v>
      </c>
      <c r="AI48" s="228">
        <f>'IS (Bull-Case)'!AI48-'IS (Base-Case)'!AI48</f>
        <v>0</v>
      </c>
      <c r="AJ48" s="228">
        <f>'IS (Bull-Case)'!AJ48-'IS (Base-Case)'!AJ48</f>
        <v>0</v>
      </c>
      <c r="AK48" s="228">
        <f>'IS (Bull-Case)'!AK48-'IS (Base-Case)'!AK48</f>
        <v>0</v>
      </c>
      <c r="AL48" s="60">
        <f>'IS (Bull-Case)'!AL48-'IS (Base-Case)'!AL48</f>
        <v>0</v>
      </c>
      <c r="AM48" s="228">
        <f>'IS (Bull-Case)'!AM48-'IS (Base-Case)'!AM48</f>
        <v>0</v>
      </c>
      <c r="AN48" s="228">
        <f>'IS (Bull-Case)'!AN48-'IS (Base-Case)'!AN48</f>
        <v>0</v>
      </c>
      <c r="AO48" s="228">
        <f>'IS (Bull-Case)'!AO48-'IS (Base-Case)'!AO48</f>
        <v>0</v>
      </c>
      <c r="AP48" s="228">
        <f>'IS (Bull-Case)'!AP48-'IS (Base-Case)'!AP48</f>
        <v>0</v>
      </c>
      <c r="AQ48" s="60">
        <f>'IS (Bull-Case)'!AQ48-'IS (Base-Case)'!AQ48</f>
        <v>0</v>
      </c>
      <c r="AR48" s="228">
        <f>'IS (Bull-Case)'!AR48-'IS (Base-Case)'!AR48</f>
        <v>0</v>
      </c>
      <c r="AS48" s="228">
        <f>'IS (Bull-Case)'!AS48-'IS (Base-Case)'!AS48</f>
        <v>0</v>
      </c>
      <c r="AT48" s="228">
        <f>'IS (Bull-Case)'!AT48-'IS (Base-Case)'!AT48</f>
        <v>0</v>
      </c>
      <c r="AU48" s="228">
        <f>'IS (Bull-Case)'!AU48-'IS (Base-Case)'!AU48</f>
        <v>0</v>
      </c>
      <c r="AV48" s="60">
        <f>'IS (Bull-Case)'!AV48-'IS (Base-Case)'!AV48</f>
        <v>0</v>
      </c>
    </row>
    <row r="49" spans="2:48" s="8" customFormat="1" outlineLevel="1" x14ac:dyDescent="0.3">
      <c r="B49" s="229" t="s">
        <v>45</v>
      </c>
      <c r="C49" s="230"/>
      <c r="D49" s="231">
        <f>'IS (Bull-Case)'!D49-'IS (Base-Case)'!D49</f>
        <v>0</v>
      </c>
      <c r="E49" s="231">
        <f>'IS (Bull-Case)'!E49-'IS (Base-Case)'!E49</f>
        <v>0</v>
      </c>
      <c r="F49" s="231">
        <f>'IS (Bull-Case)'!F49-'IS (Base-Case)'!F49</f>
        <v>0</v>
      </c>
      <c r="G49" s="231">
        <f>'IS (Bull-Case)'!G49-'IS (Base-Case)'!G49</f>
        <v>0</v>
      </c>
      <c r="H49" s="232">
        <f>'IS (Bull-Case)'!H49-'IS (Base-Case)'!H49</f>
        <v>0</v>
      </c>
      <c r="I49" s="231">
        <f>'IS (Bull-Case)'!I49-'IS (Base-Case)'!I49</f>
        <v>0</v>
      </c>
      <c r="J49" s="231">
        <f>'IS (Bull-Case)'!J49-'IS (Base-Case)'!J49</f>
        <v>0</v>
      </c>
      <c r="K49" s="231">
        <f>'IS (Bull-Case)'!K49-'IS (Base-Case)'!K49</f>
        <v>0</v>
      </c>
      <c r="L49" s="233">
        <f>'IS (Bull-Case)'!L49-'IS (Base-Case)'!L49</f>
        <v>0</v>
      </c>
      <c r="M49" s="234">
        <f>'IS (Bull-Case)'!M49-'IS (Base-Case)'!M49</f>
        <v>0</v>
      </c>
      <c r="N49" s="233">
        <f>'IS (Bull-Case)'!N49-'IS (Base-Case)'!N49</f>
        <v>0</v>
      </c>
      <c r="O49" s="233">
        <f>'IS (Bull-Case)'!O49-'IS (Base-Case)'!O49</f>
        <v>0</v>
      </c>
      <c r="P49" s="231">
        <f>'IS (Bull-Case)'!P49-'IS (Base-Case)'!P49</f>
        <v>0</v>
      </c>
      <c r="Q49" s="231">
        <f>'IS (Bull-Case)'!Q49-'IS (Base-Case)'!Q49</f>
        <v>0</v>
      </c>
      <c r="R49" s="235">
        <f>'IS (Bull-Case)'!R49-'IS (Base-Case)'!R49</f>
        <v>0</v>
      </c>
      <c r="S49" s="233">
        <f>'IS (Bull-Case)'!S49-'IS (Base-Case)'!S49</f>
        <v>0</v>
      </c>
      <c r="T49" s="233">
        <f>'IS (Bull-Case)'!T49-'IS (Base-Case)'!T49</f>
        <v>0</v>
      </c>
      <c r="U49" s="231">
        <f>'IS (Bull-Case)'!U49-'IS (Base-Case)'!U49</f>
        <v>0</v>
      </c>
      <c r="V49" s="231">
        <f>'IS (Bull-Case)'!V49-'IS (Base-Case)'!V49</f>
        <v>0</v>
      </c>
      <c r="W49" s="232">
        <f>'IS (Bull-Case)'!W49-'IS (Base-Case)'!W49</f>
        <v>0</v>
      </c>
      <c r="X49" s="233">
        <f>'IS (Bull-Case)'!X49-'IS (Base-Case)'!X49</f>
        <v>0</v>
      </c>
      <c r="Y49" s="233">
        <f>'IS (Bull-Case)'!Y49-'IS (Base-Case)'!Y49</f>
        <v>0</v>
      </c>
      <c r="Z49" s="233">
        <f>'IS (Bull-Case)'!Z49-'IS (Base-Case)'!Z49</f>
        <v>0</v>
      </c>
      <c r="AA49" s="233">
        <f>'IS (Bull-Case)'!AA49-'IS (Base-Case)'!AA49</f>
        <v>0</v>
      </c>
      <c r="AB49" s="361">
        <f>'IS (Bull-Case)'!AB49-'IS (Base-Case)'!AB49</f>
        <v>0</v>
      </c>
      <c r="AC49" s="233">
        <f>'IS (Bull-Case)'!AC49-'IS (Base-Case)'!AC49</f>
        <v>0</v>
      </c>
      <c r="AD49" s="233">
        <f>'IS (Bull-Case)'!AD49-'IS (Base-Case)'!AD49</f>
        <v>0</v>
      </c>
      <c r="AE49" s="233">
        <f>'IS (Bull-Case)'!AE49-'IS (Base-Case)'!AE49</f>
        <v>0</v>
      </c>
      <c r="AF49" s="233">
        <f>'IS (Bull-Case)'!AF49-'IS (Base-Case)'!AF49</f>
        <v>0</v>
      </c>
      <c r="AG49" s="232">
        <f>'IS (Bull-Case)'!AG49-'IS (Base-Case)'!AG49</f>
        <v>0</v>
      </c>
      <c r="AH49" s="233">
        <f>'IS (Bull-Case)'!AH49-'IS (Base-Case)'!AH49</f>
        <v>0</v>
      </c>
      <c r="AI49" s="233">
        <f>'IS (Bull-Case)'!AI49-'IS (Base-Case)'!AI49</f>
        <v>0</v>
      </c>
      <c r="AJ49" s="233">
        <f>'IS (Bull-Case)'!AJ49-'IS (Base-Case)'!AJ49</f>
        <v>0</v>
      </c>
      <c r="AK49" s="233">
        <f>'IS (Bull-Case)'!AK49-'IS (Base-Case)'!AK49</f>
        <v>0</v>
      </c>
      <c r="AL49" s="232">
        <f>'IS (Bull-Case)'!AL49-'IS (Base-Case)'!AL49</f>
        <v>0</v>
      </c>
      <c r="AM49" s="233">
        <f>'IS (Bull-Case)'!AM49-'IS (Base-Case)'!AM49</f>
        <v>0</v>
      </c>
      <c r="AN49" s="233">
        <f>'IS (Bull-Case)'!AN49-'IS (Base-Case)'!AN49</f>
        <v>0</v>
      </c>
      <c r="AO49" s="233">
        <f>'IS (Bull-Case)'!AO49-'IS (Base-Case)'!AO49</f>
        <v>0</v>
      </c>
      <c r="AP49" s="233">
        <f>'IS (Bull-Case)'!AP49-'IS (Base-Case)'!AP49</f>
        <v>0</v>
      </c>
      <c r="AQ49" s="232">
        <f>'IS (Bull-Case)'!AQ49-'IS (Base-Case)'!AQ49</f>
        <v>0</v>
      </c>
      <c r="AR49" s="233">
        <f>'IS (Bull-Case)'!AR49-'IS (Base-Case)'!AR49</f>
        <v>0</v>
      </c>
      <c r="AS49" s="233">
        <f>'IS (Bull-Case)'!AS49-'IS (Base-Case)'!AS49</f>
        <v>0</v>
      </c>
      <c r="AT49" s="233">
        <f>'IS (Bull-Case)'!AT49-'IS (Base-Case)'!AT49</f>
        <v>0</v>
      </c>
      <c r="AU49" s="233">
        <f>'IS (Bull-Case)'!AU49-'IS (Base-Case)'!AU49</f>
        <v>0</v>
      </c>
      <c r="AV49" s="232">
        <f>'IS (Bull-Case)'!AV49-'IS (Base-Case)'!AV49</f>
        <v>0</v>
      </c>
    </row>
    <row r="50" spans="2:48" s="8" customFormat="1" outlineLevel="1" x14ac:dyDescent="0.3">
      <c r="B50" s="451" t="s">
        <v>177</v>
      </c>
      <c r="C50" s="452"/>
      <c r="D50" s="67">
        <f>'IS (Bull-Case)'!D50-'IS (Base-Case)'!D50</f>
        <v>0</v>
      </c>
      <c r="E50" s="67">
        <f>'IS (Bull-Case)'!E50-'IS (Base-Case)'!E50</f>
        <v>0</v>
      </c>
      <c r="F50" s="117">
        <f>'IS (Bull-Case)'!F50-'IS (Base-Case)'!F50</f>
        <v>0</v>
      </c>
      <c r="G50" s="67">
        <f>'IS (Bull-Case)'!G50-'IS (Base-Case)'!G50</f>
        <v>0</v>
      </c>
      <c r="H50" s="68">
        <f>'IS (Bull-Case)'!H50-'IS (Base-Case)'!H50</f>
        <v>0</v>
      </c>
      <c r="I50" s="67">
        <f>'IS (Bull-Case)'!I50-'IS (Base-Case)'!I50</f>
        <v>0</v>
      </c>
      <c r="J50" s="67">
        <f>'IS (Bull-Case)'!J50-'IS (Base-Case)'!J50</f>
        <v>0</v>
      </c>
      <c r="K50" s="67">
        <f>'IS (Bull-Case)'!K50-'IS (Base-Case)'!K50</f>
        <v>0</v>
      </c>
      <c r="L50" s="67">
        <f>'IS (Bull-Case)'!L50-'IS (Base-Case)'!L50</f>
        <v>0</v>
      </c>
      <c r="M50" s="68">
        <f>'IS (Bull-Case)'!M50-'IS (Base-Case)'!M50</f>
        <v>0</v>
      </c>
      <c r="N50" s="67">
        <f>'IS (Bull-Case)'!N50-'IS (Base-Case)'!N50</f>
        <v>0</v>
      </c>
      <c r="O50" s="67">
        <f>'IS (Bull-Case)'!O50-'IS (Base-Case)'!O50</f>
        <v>0</v>
      </c>
      <c r="P50" s="67">
        <f>'IS (Bull-Case)'!P50-'IS (Base-Case)'!P50</f>
        <v>0</v>
      </c>
      <c r="Q50" s="67">
        <f>'IS (Bull-Case)'!Q50-'IS (Base-Case)'!Q50</f>
        <v>0</v>
      </c>
      <c r="R50" s="192">
        <f>'IS (Bull-Case)'!R50-'IS (Base-Case)'!R50</f>
        <v>0</v>
      </c>
      <c r="S50" s="67">
        <f>'IS (Bull-Case)'!S50-'IS (Base-Case)'!S50</f>
        <v>0</v>
      </c>
      <c r="T50" s="67">
        <f>'IS (Bull-Case)'!T50-'IS (Base-Case)'!T50</f>
        <v>0</v>
      </c>
      <c r="U50" s="67">
        <f>'IS (Bull-Case)'!U50-'IS (Base-Case)'!U50</f>
        <v>0</v>
      </c>
      <c r="V50" s="67">
        <f>'IS (Bull-Case)'!V50-'IS (Base-Case)'!V50</f>
        <v>0</v>
      </c>
      <c r="W50" s="253">
        <f>'IS (Bull-Case)'!W50-'IS (Base-Case)'!W50</f>
        <v>0</v>
      </c>
      <c r="X50" s="67">
        <f>'IS (Bull-Case)'!X50-'IS (Base-Case)'!X50</f>
        <v>0</v>
      </c>
      <c r="Y50" s="67">
        <f>'IS (Bull-Case)'!Y50-'IS (Base-Case)'!Y50</f>
        <v>0</v>
      </c>
      <c r="Z50" s="67">
        <f>'IS (Bull-Case)'!Z50-'IS (Base-Case)'!Z50</f>
        <v>0</v>
      </c>
      <c r="AA50" s="67">
        <f>'IS (Bull-Case)'!AA50-'IS (Base-Case)'!AA50</f>
        <v>0</v>
      </c>
      <c r="AB50" s="192">
        <f>'IS (Bull-Case)'!AB50-'IS (Base-Case)'!AB50</f>
        <v>0</v>
      </c>
      <c r="AC50" s="67">
        <f>'IS (Bull-Case)'!AC50-'IS (Base-Case)'!AC50</f>
        <v>0</v>
      </c>
      <c r="AD50" s="67">
        <f>'IS (Bull-Case)'!AD50-'IS (Base-Case)'!AD50</f>
        <v>0</v>
      </c>
      <c r="AE50" s="67">
        <f>'IS (Bull-Case)'!AE50-'IS (Base-Case)'!AE50</f>
        <v>0</v>
      </c>
      <c r="AF50" s="67">
        <f>'IS (Bull-Case)'!AF50-'IS (Base-Case)'!AF50</f>
        <v>0</v>
      </c>
      <c r="AG50" s="192">
        <f>'IS (Bull-Case)'!AG50-'IS (Base-Case)'!AG50</f>
        <v>0</v>
      </c>
      <c r="AH50" s="67">
        <f>'IS (Bull-Case)'!AH50-'IS (Base-Case)'!AH50</f>
        <v>0</v>
      </c>
      <c r="AI50" s="67">
        <f>'IS (Bull-Case)'!AI50-'IS (Base-Case)'!AI50</f>
        <v>0</v>
      </c>
      <c r="AJ50" s="67">
        <f>'IS (Bull-Case)'!AJ50-'IS (Base-Case)'!AJ50</f>
        <v>0</v>
      </c>
      <c r="AK50" s="67">
        <f>'IS (Bull-Case)'!AK50-'IS (Base-Case)'!AK50</f>
        <v>0</v>
      </c>
      <c r="AL50" s="192">
        <f>'IS (Bull-Case)'!AL50-'IS (Base-Case)'!AL50</f>
        <v>0</v>
      </c>
      <c r="AM50" s="67">
        <f>'IS (Bull-Case)'!AM50-'IS (Base-Case)'!AM50</f>
        <v>0</v>
      </c>
      <c r="AN50" s="67">
        <f>'IS (Bull-Case)'!AN50-'IS (Base-Case)'!AN50</f>
        <v>0</v>
      </c>
      <c r="AO50" s="67">
        <f>'IS (Bull-Case)'!AO50-'IS (Base-Case)'!AO50</f>
        <v>0</v>
      </c>
      <c r="AP50" s="67">
        <f>'IS (Bull-Case)'!AP50-'IS (Base-Case)'!AP50</f>
        <v>0</v>
      </c>
      <c r="AQ50" s="192">
        <f>'IS (Bull-Case)'!AQ50-'IS (Base-Case)'!AQ50</f>
        <v>0</v>
      </c>
      <c r="AR50" s="67">
        <f>'IS (Bull-Case)'!AR50-'IS (Base-Case)'!AR50</f>
        <v>0</v>
      </c>
      <c r="AS50" s="67">
        <f>'IS (Bull-Case)'!AS50-'IS (Base-Case)'!AS50</f>
        <v>0</v>
      </c>
      <c r="AT50" s="67">
        <f>'IS (Bull-Case)'!AT50-'IS (Base-Case)'!AT50</f>
        <v>0</v>
      </c>
      <c r="AU50" s="67">
        <f>'IS (Bull-Case)'!AU50-'IS (Base-Case)'!AU50</f>
        <v>0</v>
      </c>
      <c r="AV50" s="192">
        <f>'IS (Bull-Case)'!AV50-'IS (Base-Case)'!AV50</f>
        <v>0</v>
      </c>
    </row>
    <row r="51" spans="2:48" outlineLevel="1" x14ac:dyDescent="0.3">
      <c r="B51" s="180" t="s">
        <v>47</v>
      </c>
      <c r="C51" s="201"/>
      <c r="D51" s="101">
        <f>'IS (Bull-Case)'!D51-'IS (Base-Case)'!D51</f>
        <v>0</v>
      </c>
      <c r="E51" s="101">
        <f>'IS (Bull-Case)'!E51-'IS (Base-Case)'!E51</f>
        <v>0</v>
      </c>
      <c r="F51" s="101">
        <f>'IS (Bull-Case)'!F51-'IS (Base-Case)'!F51</f>
        <v>0</v>
      </c>
      <c r="G51" s="101">
        <f>'IS (Bull-Case)'!G51-'IS (Base-Case)'!G51</f>
        <v>0</v>
      </c>
      <c r="H51" s="122">
        <f>'IS (Bull-Case)'!H51-'IS (Base-Case)'!H51</f>
        <v>0</v>
      </c>
      <c r="I51" s="101">
        <f>'IS (Bull-Case)'!I51-'IS (Base-Case)'!I51</f>
        <v>0</v>
      </c>
      <c r="J51" s="101">
        <f>'IS (Bull-Case)'!J51-'IS (Base-Case)'!J51</f>
        <v>0</v>
      </c>
      <c r="K51" s="101">
        <f>'IS (Bull-Case)'!K51-'IS (Base-Case)'!K51</f>
        <v>0</v>
      </c>
      <c r="L51" s="101">
        <f>'IS (Bull-Case)'!L51-'IS (Base-Case)'!L51</f>
        <v>0</v>
      </c>
      <c r="M51" s="122">
        <f>'IS (Bull-Case)'!M51-'IS (Base-Case)'!M51</f>
        <v>0</v>
      </c>
      <c r="N51" s="101">
        <f>'IS (Bull-Case)'!N51-'IS (Base-Case)'!N51</f>
        <v>0</v>
      </c>
      <c r="O51" s="101">
        <f>'IS (Bull-Case)'!O51-'IS (Base-Case)'!O51</f>
        <v>0</v>
      </c>
      <c r="P51" s="101">
        <f>'IS (Bull-Case)'!P51-'IS (Base-Case)'!P51</f>
        <v>0</v>
      </c>
      <c r="Q51" s="101">
        <f>'IS (Bull-Case)'!Q51-'IS (Base-Case)'!Q51</f>
        <v>0</v>
      </c>
      <c r="R51" s="26">
        <f>'IS (Bull-Case)'!R51-'IS (Base-Case)'!R51</f>
        <v>0</v>
      </c>
      <c r="S51" s="101">
        <f>'IS (Bull-Case)'!S51-'IS (Base-Case)'!S51</f>
        <v>0</v>
      </c>
      <c r="T51" s="101">
        <f>'IS (Bull-Case)'!T51-'IS (Base-Case)'!T51</f>
        <v>0</v>
      </c>
      <c r="U51" s="101">
        <f>'IS (Bull-Case)'!U51-'IS (Base-Case)'!U51</f>
        <v>0</v>
      </c>
      <c r="V51" s="33">
        <f>'IS (Bull-Case)'!V51-'IS (Base-Case)'!V51</f>
        <v>0</v>
      </c>
      <c r="W51" s="122">
        <f>'IS (Bull-Case)'!W51-'IS (Base-Case)'!W51</f>
        <v>0</v>
      </c>
      <c r="X51" s="33">
        <f>'IS (Bull-Case)'!X51-'IS (Base-Case)'!X51</f>
        <v>0</v>
      </c>
      <c r="Y51" s="33">
        <f>'IS (Bull-Case)'!Y51-'IS (Base-Case)'!Y51</f>
        <v>0</v>
      </c>
      <c r="Z51" s="33">
        <f>'IS (Bull-Case)'!Z51-'IS (Base-Case)'!Z51</f>
        <v>0</v>
      </c>
      <c r="AA51" s="33">
        <f>'IS (Bull-Case)'!AA51-'IS (Base-Case)'!AA51</f>
        <v>0</v>
      </c>
      <c r="AB51" s="26">
        <f>'IS (Bull-Case)'!AB51-'IS (Base-Case)'!AB51</f>
        <v>0</v>
      </c>
      <c r="AC51" s="33">
        <f>'IS (Bull-Case)'!AC51-'IS (Base-Case)'!AC51</f>
        <v>0</v>
      </c>
      <c r="AD51" s="33">
        <f>'IS (Bull-Case)'!AD51-'IS (Base-Case)'!AD51</f>
        <v>0</v>
      </c>
      <c r="AE51" s="33">
        <f>'IS (Bull-Case)'!AE51-'IS (Base-Case)'!AE51</f>
        <v>0</v>
      </c>
      <c r="AF51" s="33">
        <f>'IS (Bull-Case)'!AF51-'IS (Base-Case)'!AF51</f>
        <v>0</v>
      </c>
      <c r="AG51" s="26">
        <f>'IS (Bull-Case)'!AG51-'IS (Base-Case)'!AG51</f>
        <v>0</v>
      </c>
      <c r="AH51" s="33">
        <f>'IS (Bull-Case)'!AH51-'IS (Base-Case)'!AH51</f>
        <v>0</v>
      </c>
      <c r="AI51" s="33">
        <f>'IS (Bull-Case)'!AI51-'IS (Base-Case)'!AI51</f>
        <v>0</v>
      </c>
      <c r="AJ51" s="33">
        <f>'IS (Bull-Case)'!AJ51-'IS (Base-Case)'!AJ51</f>
        <v>0</v>
      </c>
      <c r="AK51" s="33">
        <f>'IS (Bull-Case)'!AK51-'IS (Base-Case)'!AK51</f>
        <v>0</v>
      </c>
      <c r="AL51" s="26">
        <f>'IS (Bull-Case)'!AL51-'IS (Base-Case)'!AL51</f>
        <v>0</v>
      </c>
      <c r="AM51" s="33">
        <f>'IS (Bull-Case)'!AM51-'IS (Base-Case)'!AM51</f>
        <v>0</v>
      </c>
      <c r="AN51" s="33">
        <f>'IS (Bull-Case)'!AN51-'IS (Base-Case)'!AN51</f>
        <v>0</v>
      </c>
      <c r="AO51" s="33">
        <f>'IS (Bull-Case)'!AO51-'IS (Base-Case)'!AO51</f>
        <v>0</v>
      </c>
      <c r="AP51" s="33">
        <f>'IS (Bull-Case)'!AP51-'IS (Base-Case)'!AP51</f>
        <v>0</v>
      </c>
      <c r="AQ51" s="26">
        <f>'IS (Bull-Case)'!AQ51-'IS (Base-Case)'!AQ51</f>
        <v>0</v>
      </c>
      <c r="AR51" s="33">
        <f>'IS (Bull-Case)'!AR51-'IS (Base-Case)'!AR51</f>
        <v>0</v>
      </c>
      <c r="AS51" s="33">
        <f>'IS (Bull-Case)'!AS51-'IS (Base-Case)'!AS51</f>
        <v>0</v>
      </c>
      <c r="AT51" s="33">
        <f>'IS (Bull-Case)'!AT51-'IS (Base-Case)'!AT51</f>
        <v>0</v>
      </c>
      <c r="AU51" s="33">
        <f>'IS (Bull-Case)'!AU51-'IS (Base-Case)'!AU51</f>
        <v>0</v>
      </c>
      <c r="AV51" s="26">
        <f>'IS (Bull-Case)'!AV51-'IS (Base-Case)'!AV51</f>
        <v>0</v>
      </c>
    </row>
    <row r="52" spans="2:48" outlineLevel="1" x14ac:dyDescent="0.3">
      <c r="B52" s="180" t="s">
        <v>49</v>
      </c>
      <c r="C52" s="201"/>
      <c r="D52" s="16">
        <f>'IS (Bull-Case)'!D52-'IS (Base-Case)'!D52</f>
        <v>0</v>
      </c>
      <c r="E52" s="16">
        <f>'IS (Bull-Case)'!E52-'IS (Base-Case)'!E52</f>
        <v>0</v>
      </c>
      <c r="F52" s="16">
        <f>'IS (Bull-Case)'!F52-'IS (Base-Case)'!F52</f>
        <v>0</v>
      </c>
      <c r="G52" s="16">
        <f>'IS (Bull-Case)'!G52-'IS (Base-Case)'!G52</f>
        <v>0</v>
      </c>
      <c r="H52" s="26">
        <f>'IS (Bull-Case)'!H52-'IS (Base-Case)'!H52</f>
        <v>0</v>
      </c>
      <c r="I52" s="16">
        <f>'IS (Bull-Case)'!I52-'IS (Base-Case)'!I52</f>
        <v>0</v>
      </c>
      <c r="J52" s="16">
        <f>'IS (Bull-Case)'!J52-'IS (Base-Case)'!J52</f>
        <v>0</v>
      </c>
      <c r="K52" s="16">
        <f>'IS (Bull-Case)'!K52-'IS (Base-Case)'!K52</f>
        <v>0</v>
      </c>
      <c r="L52" s="16">
        <f>'IS (Bull-Case)'!L52-'IS (Base-Case)'!L52</f>
        <v>0</v>
      </c>
      <c r="M52" s="6">
        <f>'IS (Bull-Case)'!M52-'IS (Base-Case)'!M52</f>
        <v>0</v>
      </c>
      <c r="N52" s="16">
        <f>'IS (Bull-Case)'!N52-'IS (Base-Case)'!N52</f>
        <v>0</v>
      </c>
      <c r="O52" s="16">
        <f>'IS (Bull-Case)'!O52-'IS (Base-Case)'!O52</f>
        <v>0</v>
      </c>
      <c r="P52" s="16">
        <f>'IS (Bull-Case)'!P52-'IS (Base-Case)'!P52</f>
        <v>0</v>
      </c>
      <c r="Q52" s="16">
        <f>'IS (Bull-Case)'!Q52-'IS (Base-Case)'!Q52</f>
        <v>0</v>
      </c>
      <c r="R52" s="6">
        <f>'IS (Bull-Case)'!R52-'IS (Base-Case)'!R52</f>
        <v>0</v>
      </c>
      <c r="S52" s="16">
        <f>'IS (Bull-Case)'!S52-'IS (Base-Case)'!S52</f>
        <v>0</v>
      </c>
      <c r="T52" s="16">
        <f>'IS (Bull-Case)'!T52-'IS (Base-Case)'!T52</f>
        <v>0</v>
      </c>
      <c r="U52" s="16">
        <f>'IS (Bull-Case)'!U52-'IS (Base-Case)'!U52</f>
        <v>0</v>
      </c>
      <c r="V52" s="16">
        <f>'IS (Bull-Case)'!V52-'IS (Base-Case)'!V52</f>
        <v>0</v>
      </c>
      <c r="W52" s="130">
        <f>'IS (Bull-Case)'!W52-'IS (Base-Case)'!W52</f>
        <v>0</v>
      </c>
      <c r="X52" s="16">
        <f>'IS (Bull-Case)'!X52-'IS (Base-Case)'!X52</f>
        <v>0</v>
      </c>
      <c r="Y52" s="16">
        <f>'IS (Bull-Case)'!Y52-'IS (Base-Case)'!Y52</f>
        <v>0</v>
      </c>
      <c r="Z52" s="16">
        <f>'IS (Bull-Case)'!Z52-'IS (Base-Case)'!Z52</f>
        <v>0</v>
      </c>
      <c r="AA52" s="16">
        <f>'IS (Bull-Case)'!AA52-'IS (Base-Case)'!AA52</f>
        <v>0</v>
      </c>
      <c r="AB52" s="6">
        <f>'IS (Bull-Case)'!AB52-'IS (Base-Case)'!AB52</f>
        <v>0</v>
      </c>
      <c r="AC52" s="16">
        <f>'IS (Bull-Case)'!AC52-'IS (Base-Case)'!AC52</f>
        <v>0</v>
      </c>
      <c r="AD52" s="16">
        <f>'IS (Bull-Case)'!AD52-'IS (Base-Case)'!AD52</f>
        <v>0</v>
      </c>
      <c r="AE52" s="16">
        <f>'IS (Bull-Case)'!AE52-'IS (Base-Case)'!AE52</f>
        <v>0</v>
      </c>
      <c r="AF52" s="16">
        <f>'IS (Bull-Case)'!AF52-'IS (Base-Case)'!AF52</f>
        <v>0</v>
      </c>
      <c r="AG52" s="6">
        <f>'IS (Bull-Case)'!AG52-'IS (Base-Case)'!AG52</f>
        <v>0</v>
      </c>
      <c r="AH52" s="16">
        <f>'IS (Bull-Case)'!AH52-'IS (Base-Case)'!AH52</f>
        <v>0</v>
      </c>
      <c r="AI52" s="16">
        <f>'IS (Bull-Case)'!AI52-'IS (Base-Case)'!AI52</f>
        <v>0</v>
      </c>
      <c r="AJ52" s="16">
        <f>'IS (Bull-Case)'!AJ52-'IS (Base-Case)'!AJ52</f>
        <v>0</v>
      </c>
      <c r="AK52" s="16">
        <f>'IS (Bull-Case)'!AK52-'IS (Base-Case)'!AK52</f>
        <v>0</v>
      </c>
      <c r="AL52" s="6">
        <f>'IS (Bull-Case)'!AL52-'IS (Base-Case)'!AL52</f>
        <v>0</v>
      </c>
      <c r="AM52" s="16">
        <f>'IS (Bull-Case)'!AM52-'IS (Base-Case)'!AM52</f>
        <v>0</v>
      </c>
      <c r="AN52" s="16">
        <f>'IS (Bull-Case)'!AN52-'IS (Base-Case)'!AN52</f>
        <v>0</v>
      </c>
      <c r="AO52" s="16">
        <f>'IS (Bull-Case)'!AO52-'IS (Base-Case)'!AO52</f>
        <v>0</v>
      </c>
      <c r="AP52" s="16">
        <f>'IS (Bull-Case)'!AP52-'IS (Base-Case)'!AP52</f>
        <v>0</v>
      </c>
      <c r="AQ52" s="6">
        <f>'IS (Bull-Case)'!AQ52-'IS (Base-Case)'!AQ52</f>
        <v>0</v>
      </c>
      <c r="AR52" s="16">
        <f>'IS (Bull-Case)'!AR52-'IS (Base-Case)'!AR52</f>
        <v>0</v>
      </c>
      <c r="AS52" s="16">
        <f>'IS (Bull-Case)'!AS52-'IS (Base-Case)'!AS52</f>
        <v>0</v>
      </c>
      <c r="AT52" s="16">
        <f>'IS (Bull-Case)'!AT52-'IS (Base-Case)'!AT52</f>
        <v>0</v>
      </c>
      <c r="AU52" s="16">
        <f>'IS (Bull-Case)'!AU52-'IS (Base-Case)'!AU52</f>
        <v>0</v>
      </c>
      <c r="AV52" s="6">
        <f>'IS (Bull-Case)'!AV52-'IS (Base-Case)'!AV52</f>
        <v>0</v>
      </c>
    </row>
    <row r="53" spans="2:48" outlineLevel="1" x14ac:dyDescent="0.3">
      <c r="B53" s="180" t="s">
        <v>202</v>
      </c>
      <c r="C53" s="201"/>
      <c r="D53" s="43">
        <f>'IS (Bull-Case)'!D53-'IS (Base-Case)'!D53</f>
        <v>0</v>
      </c>
      <c r="E53" s="43">
        <f>'IS (Bull-Case)'!E53-'IS (Base-Case)'!E53</f>
        <v>0</v>
      </c>
      <c r="F53" s="43">
        <f>'IS (Bull-Case)'!F53-'IS (Base-Case)'!F53</f>
        <v>0</v>
      </c>
      <c r="G53" s="114">
        <f>'IS (Bull-Case)'!G53-'IS (Base-Case)'!G53</f>
        <v>0</v>
      </c>
      <c r="H53" s="127">
        <f>'IS (Bull-Case)'!H53-'IS (Base-Case)'!H53</f>
        <v>0</v>
      </c>
      <c r="I53" s="114">
        <f>'IS (Bull-Case)'!I53-'IS (Base-Case)'!I53</f>
        <v>0</v>
      </c>
      <c r="J53" s="114">
        <f>'IS (Bull-Case)'!J53-'IS (Base-Case)'!J53</f>
        <v>0</v>
      </c>
      <c r="K53" s="114">
        <f>'IS (Bull-Case)'!K53-'IS (Base-Case)'!K53</f>
        <v>0</v>
      </c>
      <c r="L53" s="114">
        <f>'IS (Bull-Case)'!L53-'IS (Base-Case)'!L53</f>
        <v>0</v>
      </c>
      <c r="M53" s="6">
        <f>'IS (Bull-Case)'!M53-'IS (Base-Case)'!M53</f>
        <v>0</v>
      </c>
      <c r="N53" s="114">
        <f>'IS (Bull-Case)'!N53-'IS (Base-Case)'!N53</f>
        <v>0</v>
      </c>
      <c r="O53" s="114">
        <f>'IS (Bull-Case)'!O53-'IS (Base-Case)'!O53</f>
        <v>0</v>
      </c>
      <c r="P53" s="114">
        <f>'IS (Bull-Case)'!P53-'IS (Base-Case)'!P53</f>
        <v>0</v>
      </c>
      <c r="Q53" s="114">
        <f>'IS (Bull-Case)'!Q53-'IS (Base-Case)'!Q53</f>
        <v>0</v>
      </c>
      <c r="R53" s="6">
        <f>'IS (Bull-Case)'!R53-'IS (Base-Case)'!R53</f>
        <v>0</v>
      </c>
      <c r="S53" s="114">
        <f>'IS (Bull-Case)'!S53-'IS (Base-Case)'!S53</f>
        <v>0</v>
      </c>
      <c r="T53" s="114">
        <f>'IS (Bull-Case)'!T53-'IS (Base-Case)'!T53</f>
        <v>0</v>
      </c>
      <c r="U53" s="114">
        <f>'IS (Bull-Case)'!U53-'IS (Base-Case)'!U53</f>
        <v>0</v>
      </c>
      <c r="V53" s="62">
        <f>'IS (Bull-Case)'!V53-'IS (Base-Case)'!V53</f>
        <v>0</v>
      </c>
      <c r="W53" s="130">
        <f>'IS (Bull-Case)'!W53-'IS (Base-Case)'!W53</f>
        <v>0</v>
      </c>
      <c r="X53" s="62">
        <f>'IS (Bull-Case)'!X53-'IS (Base-Case)'!X53</f>
        <v>1.1092238228337936E-3</v>
      </c>
      <c r="Y53" s="62">
        <f>'IS (Bull-Case)'!Y53-'IS (Base-Case)'!Y53</f>
        <v>1.0895415472779307E-3</v>
      </c>
      <c r="Z53" s="62">
        <f>'IS (Bull-Case)'!Z53-'IS (Base-Case)'!Z53</f>
        <v>1.1684798167764104E-3</v>
      </c>
      <c r="AA53" s="62">
        <f>'IS (Bull-Case)'!AA53-'IS (Base-Case)'!AA53</f>
        <v>1.0938808900523567E-3</v>
      </c>
      <c r="AB53" s="378">
        <f>'IS (Bull-Case)'!AB53-'IS (Base-Case)'!AB53</f>
        <v>0</v>
      </c>
      <c r="AC53" s="62">
        <f>'IS (Bull-Case)'!AC53-'IS (Base-Case)'!AC53</f>
        <v>2.4014695764351668E-3</v>
      </c>
      <c r="AD53" s="62">
        <f>'IS (Bull-Case)'!AD53-'IS (Base-Case)'!AD53</f>
        <v>2.3588574498567272E-3</v>
      </c>
      <c r="AE53" s="62">
        <f>'IS (Bull-Case)'!AE53-'IS (Base-Case)'!AE53</f>
        <v>2.4713348124821011E-3</v>
      </c>
      <c r="AF53" s="62">
        <f>'IS (Bull-Case)'!AF53-'IS (Base-Case)'!AF53</f>
        <v>2.313558082460726E-3</v>
      </c>
      <c r="AG53" s="378">
        <f>'IS (Bull-Case)'!AG53-'IS (Base-Case)'!AG53</f>
        <v>0</v>
      </c>
      <c r="AH53" s="62">
        <f>'IS (Bull-Case)'!AH53-'IS (Base-Case)'!AH53</f>
        <v>3.8867480058051851E-3</v>
      </c>
      <c r="AI53" s="62">
        <f>'IS (Bull-Case)'!AI53-'IS (Base-Case)'!AI53</f>
        <v>3.817780820200567E-3</v>
      </c>
      <c r="AJ53" s="62">
        <f>'IS (Bull-Case)'!AJ53-'IS (Base-Case)'!AJ53</f>
        <v>3.9696472695390644E-3</v>
      </c>
      <c r="AK53" s="62">
        <f>'IS (Bull-Case)'!AK53-'IS (Base-Case)'!AK53</f>
        <v>3.7162142007526044E-3</v>
      </c>
      <c r="AL53" s="379">
        <f>'IS (Bull-Case)'!AL53-'IS (Base-Case)'!AL53</f>
        <v>0</v>
      </c>
      <c r="AM53" s="219">
        <f>'IS (Bull-Case)'!AM53-'IS (Base-Case)'!AM53</f>
        <v>4.0810854060954471E-3</v>
      </c>
      <c r="AN53" s="219">
        <f>'IS (Bull-Case)'!AN53-'IS (Base-Case)'!AN53</f>
        <v>4.0086698612105953E-3</v>
      </c>
      <c r="AO53" s="219">
        <f>'IS (Bull-Case)'!AO53-'IS (Base-Case)'!AO53</f>
        <v>4.1681296330160211E-3</v>
      </c>
      <c r="AP53" s="219">
        <f>'IS (Bull-Case)'!AP53-'IS (Base-Case)'!AP53</f>
        <v>3.9020249107902388E-3</v>
      </c>
      <c r="AQ53" s="97">
        <f>'IS (Bull-Case)'!AQ53-'IS (Base-Case)'!AQ53</f>
        <v>0</v>
      </c>
      <c r="AR53" s="219">
        <f>'IS (Bull-Case)'!AR53-'IS (Base-Case)'!AR53</f>
        <v>4.2035179682783086E-3</v>
      </c>
      <c r="AS53" s="219">
        <f>'IS (Bull-Case)'!AS53-'IS (Base-Case)'!AS53</f>
        <v>4.1289299570469035E-3</v>
      </c>
      <c r="AT53" s="219">
        <f>'IS (Bull-Case)'!AT53-'IS (Base-Case)'!AT53</f>
        <v>4.2931735220065048E-3</v>
      </c>
      <c r="AU53" s="219">
        <f>'IS (Bull-Case)'!AU53-'IS (Base-Case)'!AU53</f>
        <v>4.0190856581139439E-3</v>
      </c>
      <c r="AV53" s="6">
        <f>'IS (Bull-Case)'!AV53-'IS (Base-Case)'!AV53</f>
        <v>0</v>
      </c>
    </row>
    <row r="54" spans="2:48" s="8" customFormat="1" outlineLevel="1" x14ac:dyDescent="0.3">
      <c r="B54" s="453" t="s">
        <v>178</v>
      </c>
      <c r="C54" s="454"/>
      <c r="D54" s="115">
        <f>'IS (Bull-Case)'!D54-'IS (Base-Case)'!D54</f>
        <v>0</v>
      </c>
      <c r="E54" s="115">
        <f>'IS (Bull-Case)'!E54-'IS (Base-Case)'!E54</f>
        <v>0</v>
      </c>
      <c r="F54" s="115">
        <f>'IS (Bull-Case)'!F54-'IS (Base-Case)'!F54</f>
        <v>0</v>
      </c>
      <c r="G54" s="115">
        <f>'IS (Bull-Case)'!G54-'IS (Base-Case)'!G54</f>
        <v>0</v>
      </c>
      <c r="H54" s="153">
        <f>'IS (Bull-Case)'!H54-'IS (Base-Case)'!H54</f>
        <v>0</v>
      </c>
      <c r="I54" s="115">
        <f>'IS (Bull-Case)'!I54-'IS (Base-Case)'!I54</f>
        <v>0</v>
      </c>
      <c r="J54" s="115">
        <f>'IS (Bull-Case)'!J54-'IS (Base-Case)'!J54</f>
        <v>0</v>
      </c>
      <c r="K54" s="115">
        <f>'IS (Bull-Case)'!K54-'IS (Base-Case)'!K54</f>
        <v>0</v>
      </c>
      <c r="L54" s="72">
        <f>'IS (Bull-Case)'!L54-'IS (Base-Case)'!L54</f>
        <v>0</v>
      </c>
      <c r="M54" s="73">
        <f>'IS (Bull-Case)'!M54-'IS (Base-Case)'!M54</f>
        <v>0</v>
      </c>
      <c r="N54" s="72">
        <f>'IS (Bull-Case)'!N54-'IS (Base-Case)'!N54</f>
        <v>0</v>
      </c>
      <c r="O54" s="72">
        <f>'IS (Bull-Case)'!O54-'IS (Base-Case)'!O54</f>
        <v>0</v>
      </c>
      <c r="P54" s="72">
        <f>'IS (Bull-Case)'!P54-'IS (Base-Case)'!P54</f>
        <v>0</v>
      </c>
      <c r="Q54" s="115">
        <f>'IS (Bull-Case)'!Q54-'IS (Base-Case)'!Q54</f>
        <v>0</v>
      </c>
      <c r="R54" s="73">
        <f>'IS (Bull-Case)'!R54-'IS (Base-Case)'!R54</f>
        <v>0</v>
      </c>
      <c r="S54" s="72">
        <f>'IS (Bull-Case)'!S54-'IS (Base-Case)'!S54</f>
        <v>0</v>
      </c>
      <c r="T54" s="72">
        <f>'IS (Bull-Case)'!T54-'IS (Base-Case)'!T54</f>
        <v>0</v>
      </c>
      <c r="U54" s="72">
        <f>'IS (Bull-Case)'!U54-'IS (Base-Case)'!U54</f>
        <v>0</v>
      </c>
      <c r="V54" s="72">
        <f>'IS (Bull-Case)'!V54-'IS (Base-Case)'!V54</f>
        <v>0</v>
      </c>
      <c r="W54" s="213">
        <f>'IS (Bull-Case)'!W54-'IS (Base-Case)'!W54</f>
        <v>0</v>
      </c>
      <c r="X54" s="72">
        <f>'IS (Bull-Case)'!X54-'IS (Base-Case)'!X54</f>
        <v>7.8333386368523179</v>
      </c>
      <c r="Y54" s="72">
        <f>'IS (Bull-Case)'!Y54-'IS (Base-Case)'!Y54</f>
        <v>7.7684312320916433</v>
      </c>
      <c r="Z54" s="72">
        <f>'IS (Bull-Case)'!Z54-'IS (Base-Case)'!Z54</f>
        <v>8.4107177211565158</v>
      </c>
      <c r="AA54" s="72">
        <f>'IS (Bull-Case)'!AA54-'IS (Base-Case)'!AA54</f>
        <v>7.9486854875653989</v>
      </c>
      <c r="AB54" s="73">
        <f>'IS (Bull-Case)'!AB54-'IS (Base-Case)'!AB54</f>
        <v>31.96117307766599</v>
      </c>
      <c r="AC54" s="72">
        <f>'IS (Bull-Case)'!AC54-'IS (Base-Case)'!AC54</f>
        <v>17.631589630187023</v>
      </c>
      <c r="AD54" s="72">
        <f>'IS (Bull-Case)'!AD54-'IS (Base-Case)'!AD54</f>
        <v>17.512157707736378</v>
      </c>
      <c r="AE54" s="72">
        <f>'IS (Bull-Case)'!AE54-'IS (Base-Case)'!AE54</f>
        <v>18.549839102490637</v>
      </c>
      <c r="AF54" s="72">
        <f>'IS (Bull-Case)'!AF54-'IS (Base-Case)'!AF54</f>
        <v>17.556435508753225</v>
      </c>
      <c r="AG54" s="73">
        <f>'IS (Bull-Case)'!AG54-'IS (Base-Case)'!AG54</f>
        <v>71.250021949167149</v>
      </c>
      <c r="AH54" s="72">
        <f>'IS (Bull-Case)'!AH54-'IS (Base-Case)'!AH54</f>
        <v>29.844394562575076</v>
      </c>
      <c r="AI54" s="72">
        <f>'IS (Bull-Case)'!AI54-'IS (Base-Case)'!AI54</f>
        <v>29.685154767469498</v>
      </c>
      <c r="AJ54" s="72">
        <f>'IS (Bull-Case)'!AJ54-'IS (Base-Case)'!AJ54</f>
        <v>31.251048129446303</v>
      </c>
      <c r="AK54" s="72">
        <f>'IS (Bull-Case)'!AK54-'IS (Base-Case)'!AK54</f>
        <v>29.616369072897896</v>
      </c>
      <c r="AL54" s="73">
        <f>'IS (Bull-Case)'!AL54-'IS (Base-Case)'!AL54</f>
        <v>120.39696653238843</v>
      </c>
      <c r="AM54" s="72">
        <f>'IS (Bull-Case)'!AM54-'IS (Base-Case)'!AM54</f>
        <v>32.779277981758582</v>
      </c>
      <c r="AN54" s="72">
        <f>'IS (Bull-Case)'!AN54-'IS (Base-Case)'!AN54</f>
        <v>32.309879081357394</v>
      </c>
      <c r="AO54" s="72">
        <f>'IS (Bull-Case)'!AO54-'IS (Base-Case)'!AO54</f>
        <v>33.711832471833645</v>
      </c>
      <c r="AP54" s="72">
        <f>'IS (Bull-Case)'!AP54-'IS (Base-Case)'!AP54</f>
        <v>31.668834175973529</v>
      </c>
      <c r="AQ54" s="73">
        <f>'IS (Bull-Case)'!AQ54-'IS (Base-Case)'!AQ54</f>
        <v>130.46982371092281</v>
      </c>
      <c r="AR54" s="72">
        <f>'IS (Bull-Case)'!AR54-'IS (Base-Case)'!AR54</f>
        <v>34.233450333658539</v>
      </c>
      <c r="AS54" s="72">
        <f>'IS (Bull-Case)'!AS54-'IS (Base-Case)'!AS54</f>
        <v>33.741615608987331</v>
      </c>
      <c r="AT54" s="72">
        <f>'IS (Bull-Case)'!AT54-'IS (Base-Case)'!AT54</f>
        <v>35.204022880453294</v>
      </c>
      <c r="AU54" s="72">
        <f>'IS (Bull-Case)'!AU54-'IS (Base-Case)'!AU54</f>
        <v>33.069036794961562</v>
      </c>
      <c r="AV54" s="73">
        <f>'IS (Bull-Case)'!AV54-'IS (Base-Case)'!AV54</f>
        <v>136.24812561806129</v>
      </c>
    </row>
    <row r="55" spans="2:48" s="8" customFormat="1" outlineLevel="1" x14ac:dyDescent="0.3">
      <c r="B55" s="445" t="s">
        <v>179</v>
      </c>
      <c r="C55" s="446"/>
      <c r="D55" s="103">
        <f>'IS (Bull-Case)'!D55-'IS (Base-Case)'!D55</f>
        <v>0</v>
      </c>
      <c r="E55" s="103">
        <f>'IS (Bull-Case)'!E55-'IS (Base-Case)'!E55</f>
        <v>0</v>
      </c>
      <c r="F55" s="103">
        <f>'IS (Bull-Case)'!F55-'IS (Base-Case)'!F55</f>
        <v>0</v>
      </c>
      <c r="G55" s="103">
        <f>'IS (Bull-Case)'!G55-'IS (Base-Case)'!G55</f>
        <v>0</v>
      </c>
      <c r="H55" s="154">
        <f>'IS (Bull-Case)'!H55-'IS (Base-Case)'!H55</f>
        <v>0</v>
      </c>
      <c r="I55" s="103">
        <f>'IS (Bull-Case)'!I55-'IS (Base-Case)'!I55</f>
        <v>0</v>
      </c>
      <c r="J55" s="103">
        <f>'IS (Bull-Case)'!J55-'IS (Base-Case)'!J55</f>
        <v>0</v>
      </c>
      <c r="K55" s="103">
        <f>'IS (Bull-Case)'!K55-'IS (Base-Case)'!K55</f>
        <v>0</v>
      </c>
      <c r="L55" s="50">
        <f>'IS (Bull-Case)'!L55-'IS (Base-Case)'!L55</f>
        <v>0</v>
      </c>
      <c r="M55" s="97">
        <f>'IS (Bull-Case)'!M55-'IS (Base-Case)'!M55</f>
        <v>0</v>
      </c>
      <c r="N55" s="50">
        <f>'IS (Bull-Case)'!N55-'IS (Base-Case)'!N55</f>
        <v>0</v>
      </c>
      <c r="O55" s="50">
        <f>'IS (Bull-Case)'!O55-'IS (Base-Case)'!O55</f>
        <v>0</v>
      </c>
      <c r="P55" s="50">
        <f>'IS (Bull-Case)'!P55-'IS (Base-Case)'!P55</f>
        <v>0</v>
      </c>
      <c r="Q55" s="103">
        <f>'IS (Bull-Case)'!Q55-'IS (Base-Case)'!Q55</f>
        <v>0</v>
      </c>
      <c r="R55" s="191">
        <f>'IS (Bull-Case)'!R55-'IS (Base-Case)'!R55</f>
        <v>0</v>
      </c>
      <c r="S55" s="50">
        <f>'IS (Bull-Case)'!S55-'IS (Base-Case)'!S55</f>
        <v>0</v>
      </c>
      <c r="T55" s="50">
        <f>'IS (Bull-Case)'!T55-'IS (Base-Case)'!T55</f>
        <v>0</v>
      </c>
      <c r="U55" s="50">
        <f>'IS (Bull-Case)'!U55-'IS (Base-Case)'!U55</f>
        <v>0</v>
      </c>
      <c r="V55" s="50">
        <f>'IS (Bull-Case)'!V55-'IS (Base-Case)'!V55</f>
        <v>0</v>
      </c>
      <c r="W55" s="166">
        <f>'IS (Bull-Case)'!W55-'IS (Base-Case)'!W55</f>
        <v>0</v>
      </c>
      <c r="X55" s="50">
        <f>'IS (Bull-Case)'!X55-'IS (Base-Case)'!X55</f>
        <v>0</v>
      </c>
      <c r="Y55" s="50">
        <f>'IS (Bull-Case)'!Y55-'IS (Base-Case)'!Y55</f>
        <v>0</v>
      </c>
      <c r="Z55" s="50">
        <f>'IS (Bull-Case)'!Z55-'IS (Base-Case)'!Z55</f>
        <v>0</v>
      </c>
      <c r="AA55" s="50">
        <f>'IS (Bull-Case)'!AA55-'IS (Base-Case)'!AA55</f>
        <v>0</v>
      </c>
      <c r="AB55" s="191">
        <f>'IS (Bull-Case)'!AB55-'IS (Base-Case)'!AB55</f>
        <v>0</v>
      </c>
      <c r="AC55" s="50">
        <f>'IS (Bull-Case)'!AC55-'IS (Base-Case)'!AC55</f>
        <v>0</v>
      </c>
      <c r="AD55" s="50">
        <f>'IS (Bull-Case)'!AD55-'IS (Base-Case)'!AD55</f>
        <v>0</v>
      </c>
      <c r="AE55" s="50">
        <f>'IS (Bull-Case)'!AE55-'IS (Base-Case)'!AE55</f>
        <v>0</v>
      </c>
      <c r="AF55" s="50">
        <f>'IS (Bull-Case)'!AF55-'IS (Base-Case)'!AF55</f>
        <v>0</v>
      </c>
      <c r="AG55" s="191">
        <f>'IS (Bull-Case)'!AG55-'IS (Base-Case)'!AG55</f>
        <v>0</v>
      </c>
      <c r="AH55" s="50">
        <f>'IS (Bull-Case)'!AH55-'IS (Base-Case)'!AH55</f>
        <v>0</v>
      </c>
      <c r="AI55" s="50">
        <f>'IS (Bull-Case)'!AI55-'IS (Base-Case)'!AI55</f>
        <v>0</v>
      </c>
      <c r="AJ55" s="50">
        <f>'IS (Bull-Case)'!AJ55-'IS (Base-Case)'!AJ55</f>
        <v>0</v>
      </c>
      <c r="AK55" s="50">
        <f>'IS (Bull-Case)'!AK55-'IS (Base-Case)'!AK55</f>
        <v>0</v>
      </c>
      <c r="AL55" s="191">
        <f>'IS (Bull-Case)'!AL55-'IS (Base-Case)'!AL55</f>
        <v>0</v>
      </c>
      <c r="AM55" s="50">
        <f>'IS (Bull-Case)'!AM55-'IS (Base-Case)'!AM55</f>
        <v>0</v>
      </c>
      <c r="AN55" s="50">
        <f>'IS (Bull-Case)'!AN55-'IS (Base-Case)'!AN55</f>
        <v>0</v>
      </c>
      <c r="AO55" s="50">
        <f>'IS (Bull-Case)'!AO55-'IS (Base-Case)'!AO55</f>
        <v>0</v>
      </c>
      <c r="AP55" s="50">
        <f>'IS (Bull-Case)'!AP55-'IS (Base-Case)'!AP55</f>
        <v>0</v>
      </c>
      <c r="AQ55" s="191">
        <f>'IS (Bull-Case)'!AQ55-'IS (Base-Case)'!AQ55</f>
        <v>0</v>
      </c>
      <c r="AR55" s="50">
        <f>'IS (Bull-Case)'!AR55-'IS (Base-Case)'!AR55</f>
        <v>0</v>
      </c>
      <c r="AS55" s="50">
        <f>'IS (Bull-Case)'!AS55-'IS (Base-Case)'!AS55</f>
        <v>0</v>
      </c>
      <c r="AT55" s="50">
        <f>'IS (Bull-Case)'!AT55-'IS (Base-Case)'!AT55</f>
        <v>0</v>
      </c>
      <c r="AU55" s="50">
        <f>'IS (Bull-Case)'!AU55-'IS (Base-Case)'!AU55</f>
        <v>0</v>
      </c>
      <c r="AV55" s="191">
        <f>'IS (Bull-Case)'!AV55-'IS (Base-Case)'!AV55</f>
        <v>0</v>
      </c>
    </row>
    <row r="56" spans="2:48" outlineLevel="1" x14ac:dyDescent="0.3">
      <c r="B56" s="69" t="s">
        <v>50</v>
      </c>
      <c r="C56" s="70"/>
      <c r="D56" s="120">
        <f>'IS (Bull-Case)'!D56-'IS (Base-Case)'!D56</f>
        <v>0</v>
      </c>
      <c r="E56" s="120">
        <f>'IS (Bull-Case)'!E56-'IS (Base-Case)'!E56</f>
        <v>0</v>
      </c>
      <c r="F56" s="120">
        <f>'IS (Bull-Case)'!F56-'IS (Base-Case)'!F56</f>
        <v>0</v>
      </c>
      <c r="G56" s="120">
        <f>'IS (Bull-Case)'!G56-'IS (Base-Case)'!G56</f>
        <v>0</v>
      </c>
      <c r="H56" s="155">
        <f>'IS (Bull-Case)'!H56-'IS (Base-Case)'!H56</f>
        <v>0</v>
      </c>
      <c r="I56" s="120">
        <f>'IS (Bull-Case)'!I56-'IS (Base-Case)'!I56</f>
        <v>0</v>
      </c>
      <c r="J56" s="120">
        <f>'IS (Bull-Case)'!J56-'IS (Base-Case)'!J56</f>
        <v>0</v>
      </c>
      <c r="K56" s="120">
        <f>'IS (Bull-Case)'!K56-'IS (Base-Case)'!K56</f>
        <v>0</v>
      </c>
      <c r="L56" s="120">
        <f>'IS (Bull-Case)'!L56-'IS (Base-Case)'!L56</f>
        <v>0</v>
      </c>
      <c r="M56" s="58">
        <f>'IS (Bull-Case)'!M56-'IS (Base-Case)'!M56</f>
        <v>0</v>
      </c>
      <c r="N56" s="120">
        <f>'IS (Bull-Case)'!N56-'IS (Base-Case)'!N56</f>
        <v>0</v>
      </c>
      <c r="O56" s="120">
        <f>'IS (Bull-Case)'!O56-'IS (Base-Case)'!O56</f>
        <v>0</v>
      </c>
      <c r="P56" s="120">
        <f>'IS (Bull-Case)'!P56-'IS (Base-Case)'!P56</f>
        <v>0</v>
      </c>
      <c r="Q56" s="120">
        <f>'IS (Bull-Case)'!Q56-'IS (Base-Case)'!Q56</f>
        <v>0</v>
      </c>
      <c r="R56" s="58">
        <f>'IS (Bull-Case)'!R56-'IS (Base-Case)'!R56</f>
        <v>0</v>
      </c>
      <c r="S56" s="120">
        <f>'IS (Bull-Case)'!S56-'IS (Base-Case)'!S56</f>
        <v>0</v>
      </c>
      <c r="T56" s="120">
        <f>'IS (Bull-Case)'!T56-'IS (Base-Case)'!T56</f>
        <v>0</v>
      </c>
      <c r="U56" s="120">
        <f>'IS (Bull-Case)'!U56-'IS (Base-Case)'!U56</f>
        <v>0</v>
      </c>
      <c r="V56" s="71">
        <f>'IS (Bull-Case)'!V56-'IS (Base-Case)'!V56</f>
        <v>0</v>
      </c>
      <c r="W56" s="155">
        <f>'IS (Bull-Case)'!W56-'IS (Base-Case)'!W56</f>
        <v>0</v>
      </c>
      <c r="X56" s="71">
        <f>'IS (Bull-Case)'!X56-'IS (Base-Case)'!X56</f>
        <v>0</v>
      </c>
      <c r="Y56" s="71">
        <f>'IS (Bull-Case)'!Y56-'IS (Base-Case)'!Y56</f>
        <v>0</v>
      </c>
      <c r="Z56" s="71">
        <f>'IS (Bull-Case)'!Z56-'IS (Base-Case)'!Z56</f>
        <v>0</v>
      </c>
      <c r="AA56" s="71">
        <f>'IS (Bull-Case)'!AA56-'IS (Base-Case)'!AA56</f>
        <v>0</v>
      </c>
      <c r="AB56" s="374">
        <f>'IS (Bull-Case)'!AB56-'IS (Base-Case)'!AB56</f>
        <v>0</v>
      </c>
      <c r="AC56" s="71">
        <f>'IS (Bull-Case)'!AC56-'IS (Base-Case)'!AC56</f>
        <v>0</v>
      </c>
      <c r="AD56" s="71">
        <f>'IS (Bull-Case)'!AD56-'IS (Base-Case)'!AD56</f>
        <v>0</v>
      </c>
      <c r="AE56" s="71">
        <f>'IS (Bull-Case)'!AE56-'IS (Base-Case)'!AE56</f>
        <v>0</v>
      </c>
      <c r="AF56" s="71">
        <f>'IS (Bull-Case)'!AF56-'IS (Base-Case)'!AF56</f>
        <v>0</v>
      </c>
      <c r="AG56" s="58">
        <f>'IS (Bull-Case)'!AG56-'IS (Base-Case)'!AG56</f>
        <v>0</v>
      </c>
      <c r="AH56" s="71">
        <f>'IS (Bull-Case)'!AH56-'IS (Base-Case)'!AH56</f>
        <v>0</v>
      </c>
      <c r="AI56" s="71">
        <f>'IS (Bull-Case)'!AI56-'IS (Base-Case)'!AI56</f>
        <v>0</v>
      </c>
      <c r="AJ56" s="71">
        <f>'IS (Bull-Case)'!AJ56-'IS (Base-Case)'!AJ56</f>
        <v>0</v>
      </c>
      <c r="AK56" s="71">
        <f>'IS (Bull-Case)'!AK56-'IS (Base-Case)'!AK56</f>
        <v>0</v>
      </c>
      <c r="AL56" s="58">
        <f>'IS (Bull-Case)'!AL56-'IS (Base-Case)'!AL56</f>
        <v>0</v>
      </c>
      <c r="AM56" s="71">
        <f>'IS (Bull-Case)'!AM56-'IS (Base-Case)'!AM56</f>
        <v>0</v>
      </c>
      <c r="AN56" s="71">
        <f>'IS (Bull-Case)'!AN56-'IS (Base-Case)'!AN56</f>
        <v>0</v>
      </c>
      <c r="AO56" s="71">
        <f>'IS (Bull-Case)'!AO56-'IS (Base-Case)'!AO56</f>
        <v>0</v>
      </c>
      <c r="AP56" s="71">
        <f>'IS (Bull-Case)'!AP56-'IS (Base-Case)'!AP56</f>
        <v>0</v>
      </c>
      <c r="AQ56" s="58">
        <f>'IS (Bull-Case)'!AQ56-'IS (Base-Case)'!AQ56</f>
        <v>0</v>
      </c>
      <c r="AR56" s="71">
        <f>'IS (Bull-Case)'!AR56-'IS (Base-Case)'!AR56</f>
        <v>0</v>
      </c>
      <c r="AS56" s="71">
        <f>'IS (Bull-Case)'!AS56-'IS (Base-Case)'!AS56</f>
        <v>0</v>
      </c>
      <c r="AT56" s="71">
        <f>'IS (Bull-Case)'!AT56-'IS (Base-Case)'!AT56</f>
        <v>0</v>
      </c>
      <c r="AU56" s="71">
        <f>'IS (Bull-Case)'!AU56-'IS (Base-Case)'!AU56</f>
        <v>0</v>
      </c>
      <c r="AV56" s="58">
        <f>'IS (Bull-Case)'!AV56-'IS (Base-Case)'!AV56</f>
        <v>0</v>
      </c>
    </row>
    <row r="57" spans="2:48" outlineLevel="1" x14ac:dyDescent="0.3">
      <c r="B57" s="180" t="s">
        <v>180</v>
      </c>
      <c r="C57" s="207"/>
      <c r="D57" s="101">
        <f>'IS (Bull-Case)'!D57-'IS (Base-Case)'!D57</f>
        <v>0</v>
      </c>
      <c r="E57" s="101">
        <f>'IS (Bull-Case)'!E57-'IS (Base-Case)'!E57</f>
        <v>0</v>
      </c>
      <c r="F57" s="101">
        <f>'IS (Bull-Case)'!F57-'IS (Base-Case)'!F57</f>
        <v>0</v>
      </c>
      <c r="G57" s="101">
        <f>'IS (Bull-Case)'!G57-'IS (Base-Case)'!G57</f>
        <v>0</v>
      </c>
      <c r="H57" s="122">
        <f>'IS (Bull-Case)'!H57-'IS (Base-Case)'!H57</f>
        <v>0</v>
      </c>
      <c r="I57" s="101">
        <f>'IS (Bull-Case)'!I57-'IS (Base-Case)'!I57</f>
        <v>0</v>
      </c>
      <c r="J57" s="101">
        <f>'IS (Bull-Case)'!J57-'IS (Base-Case)'!J57</f>
        <v>0</v>
      </c>
      <c r="K57" s="101">
        <f>'IS (Bull-Case)'!K57-'IS (Base-Case)'!K57</f>
        <v>0</v>
      </c>
      <c r="L57" s="16">
        <f>'IS (Bull-Case)'!L57-'IS (Base-Case)'!L57</f>
        <v>0</v>
      </c>
      <c r="M57" s="6">
        <f>'IS (Bull-Case)'!M57-'IS (Base-Case)'!M57</f>
        <v>0</v>
      </c>
      <c r="N57" s="16">
        <f>'IS (Bull-Case)'!N57-'IS (Base-Case)'!N57</f>
        <v>0</v>
      </c>
      <c r="O57" s="16">
        <f>'IS (Bull-Case)'!O57-'IS (Base-Case)'!O57</f>
        <v>0</v>
      </c>
      <c r="P57" s="16">
        <f>'IS (Bull-Case)'!P57-'IS (Base-Case)'!P57</f>
        <v>0</v>
      </c>
      <c r="Q57" s="101">
        <f>'IS (Bull-Case)'!Q57-'IS (Base-Case)'!Q57</f>
        <v>0</v>
      </c>
      <c r="R57" s="6">
        <f>'IS (Bull-Case)'!R57-'IS (Base-Case)'!R57</f>
        <v>0</v>
      </c>
      <c r="S57" s="16">
        <f>'IS (Bull-Case)'!S57-'IS (Base-Case)'!S57</f>
        <v>0</v>
      </c>
      <c r="T57" s="16">
        <f>'IS (Bull-Case)'!T57-'IS (Base-Case)'!T57</f>
        <v>0</v>
      </c>
      <c r="U57" s="16">
        <f>'IS (Bull-Case)'!U57-'IS (Base-Case)'!U57</f>
        <v>0</v>
      </c>
      <c r="V57" s="16">
        <f>'IS (Bull-Case)'!V57-'IS (Base-Case)'!V57</f>
        <v>0</v>
      </c>
      <c r="W57" s="254">
        <f>'IS (Bull-Case)'!W57-'IS (Base-Case)'!W57</f>
        <v>0</v>
      </c>
      <c r="X57" s="16">
        <f>'IS (Bull-Case)'!X57-'IS (Base-Case)'!X57</f>
        <v>0</v>
      </c>
      <c r="Y57" s="16">
        <f>'IS (Bull-Case)'!Y57-'IS (Base-Case)'!Y57</f>
        <v>0</v>
      </c>
      <c r="Z57" s="16">
        <f>'IS (Bull-Case)'!Z57-'IS (Base-Case)'!Z57</f>
        <v>0</v>
      </c>
      <c r="AA57" s="16">
        <f>'IS (Bull-Case)'!AA57-'IS (Base-Case)'!AA57</f>
        <v>0</v>
      </c>
      <c r="AB57" s="254">
        <f>'IS (Bull-Case)'!AB57-'IS (Base-Case)'!AB57</f>
        <v>0</v>
      </c>
      <c r="AC57" s="16">
        <f>'IS (Bull-Case)'!AC57-'IS (Base-Case)'!AC57</f>
        <v>0</v>
      </c>
      <c r="AD57" s="16">
        <f>'IS (Bull-Case)'!AD57-'IS (Base-Case)'!AD57</f>
        <v>0</v>
      </c>
      <c r="AE57" s="16">
        <f>'IS (Bull-Case)'!AE57-'IS (Base-Case)'!AE57</f>
        <v>0</v>
      </c>
      <c r="AF57" s="16">
        <f>'IS (Bull-Case)'!AF57-'IS (Base-Case)'!AF57</f>
        <v>0</v>
      </c>
      <c r="AG57" s="254">
        <f>'IS (Bull-Case)'!AG57-'IS (Base-Case)'!AG57</f>
        <v>0</v>
      </c>
      <c r="AH57" s="16">
        <f>'IS (Bull-Case)'!AH57-'IS (Base-Case)'!AH57</f>
        <v>0</v>
      </c>
      <c r="AI57" s="16">
        <f>'IS (Bull-Case)'!AI57-'IS (Base-Case)'!AI57</f>
        <v>0</v>
      </c>
      <c r="AJ57" s="16">
        <f>'IS (Bull-Case)'!AJ57-'IS (Base-Case)'!AJ57</f>
        <v>0</v>
      </c>
      <c r="AK57" s="16">
        <f>'IS (Bull-Case)'!AK57-'IS (Base-Case)'!AK57</f>
        <v>0</v>
      </c>
      <c r="AL57" s="254">
        <f>'IS (Bull-Case)'!AL57-'IS (Base-Case)'!AL57</f>
        <v>0</v>
      </c>
      <c r="AM57" s="16">
        <f>'IS (Bull-Case)'!AM57-'IS (Base-Case)'!AM57</f>
        <v>0</v>
      </c>
      <c r="AN57" s="16">
        <f>'IS (Bull-Case)'!AN57-'IS (Base-Case)'!AN57</f>
        <v>0</v>
      </c>
      <c r="AO57" s="16">
        <f>'IS (Bull-Case)'!AO57-'IS (Base-Case)'!AO57</f>
        <v>0</v>
      </c>
      <c r="AP57" s="16">
        <f>'IS (Bull-Case)'!AP57-'IS (Base-Case)'!AP57</f>
        <v>0</v>
      </c>
      <c r="AQ57" s="254">
        <f>'IS (Bull-Case)'!AQ57-'IS (Base-Case)'!AQ57</f>
        <v>0</v>
      </c>
      <c r="AR57" s="16">
        <f>'IS (Bull-Case)'!AR57-'IS (Base-Case)'!AR57</f>
        <v>0</v>
      </c>
      <c r="AS57" s="16">
        <f>'IS (Bull-Case)'!AS57-'IS (Base-Case)'!AS57</f>
        <v>0</v>
      </c>
      <c r="AT57" s="16">
        <f>'IS (Bull-Case)'!AT57-'IS (Base-Case)'!AT57</f>
        <v>0</v>
      </c>
      <c r="AU57" s="16">
        <f>'IS (Bull-Case)'!AU57-'IS (Base-Case)'!AU57</f>
        <v>0</v>
      </c>
      <c r="AV57" s="254">
        <f>'IS (Bull-Case)'!AV57-'IS (Base-Case)'!AV57</f>
        <v>0</v>
      </c>
    </row>
    <row r="58" spans="2:48" outlineLevel="1" x14ac:dyDescent="0.3">
      <c r="B58" s="180" t="s">
        <v>181</v>
      </c>
      <c r="C58" s="207"/>
      <c r="D58" s="101">
        <f>'IS (Bull-Case)'!D58-'IS (Base-Case)'!D58</f>
        <v>0</v>
      </c>
      <c r="E58" s="101">
        <f>'IS (Bull-Case)'!E58-'IS (Base-Case)'!E58</f>
        <v>0</v>
      </c>
      <c r="F58" s="101">
        <f>'IS (Bull-Case)'!F58-'IS (Base-Case)'!F58</f>
        <v>0</v>
      </c>
      <c r="G58" s="101">
        <f>'IS (Bull-Case)'!G58-'IS (Base-Case)'!G58</f>
        <v>0</v>
      </c>
      <c r="H58" s="122">
        <f>'IS (Bull-Case)'!H58-'IS (Base-Case)'!H58</f>
        <v>0</v>
      </c>
      <c r="I58" s="101">
        <f>'IS (Bull-Case)'!I58-'IS (Base-Case)'!I58</f>
        <v>0</v>
      </c>
      <c r="J58" s="101">
        <f>'IS (Bull-Case)'!J58-'IS (Base-Case)'!J58</f>
        <v>0</v>
      </c>
      <c r="K58" s="101">
        <f>'IS (Bull-Case)'!K58-'IS (Base-Case)'!K58</f>
        <v>0</v>
      </c>
      <c r="L58" s="16">
        <f>'IS (Bull-Case)'!L58-'IS (Base-Case)'!L58</f>
        <v>0</v>
      </c>
      <c r="M58" s="122">
        <f>'IS (Bull-Case)'!M58-'IS (Base-Case)'!M58</f>
        <v>0</v>
      </c>
      <c r="N58" s="16">
        <f>'IS (Bull-Case)'!N58-'IS (Base-Case)'!N58</f>
        <v>0</v>
      </c>
      <c r="O58" s="16">
        <f>'IS (Bull-Case)'!O58-'IS (Base-Case)'!O58</f>
        <v>0</v>
      </c>
      <c r="P58" s="16">
        <f>'IS (Bull-Case)'!P58-'IS (Base-Case)'!P58</f>
        <v>0</v>
      </c>
      <c r="Q58" s="101">
        <f>'IS (Bull-Case)'!Q58-'IS (Base-Case)'!Q58</f>
        <v>0</v>
      </c>
      <c r="R58" s="122">
        <f>'IS (Bull-Case)'!R58-'IS (Base-Case)'!R58</f>
        <v>0</v>
      </c>
      <c r="S58" s="16">
        <f>'IS (Bull-Case)'!S58-'IS (Base-Case)'!S58</f>
        <v>0</v>
      </c>
      <c r="T58" s="16">
        <f>'IS (Bull-Case)'!T58-'IS (Base-Case)'!T58</f>
        <v>0</v>
      </c>
      <c r="U58" s="16">
        <f>'IS (Bull-Case)'!U58-'IS (Base-Case)'!U58</f>
        <v>0</v>
      </c>
      <c r="V58" s="16">
        <f>'IS (Bull-Case)'!V58-'IS (Base-Case)'!V58</f>
        <v>0</v>
      </c>
      <c r="W58" s="122">
        <f>'IS (Bull-Case)'!W58-'IS (Base-Case)'!W58</f>
        <v>0</v>
      </c>
      <c r="X58" s="16">
        <f>'IS (Bull-Case)'!X58-'IS (Base-Case)'!X58</f>
        <v>0</v>
      </c>
      <c r="Y58" s="16">
        <f>'IS (Bull-Case)'!Y58-'IS (Base-Case)'!Y58</f>
        <v>0</v>
      </c>
      <c r="Z58" s="16">
        <f>'IS (Bull-Case)'!Z58-'IS (Base-Case)'!Z58</f>
        <v>0</v>
      </c>
      <c r="AA58" s="16">
        <f>'IS (Bull-Case)'!AA58-'IS (Base-Case)'!AA58</f>
        <v>0</v>
      </c>
      <c r="AB58" s="122">
        <f>'IS (Bull-Case)'!AB58-'IS (Base-Case)'!AB58</f>
        <v>0</v>
      </c>
      <c r="AC58" s="16">
        <f>'IS (Bull-Case)'!AC58-'IS (Base-Case)'!AC58</f>
        <v>0</v>
      </c>
      <c r="AD58" s="16">
        <f>'IS (Bull-Case)'!AD58-'IS (Base-Case)'!AD58</f>
        <v>0</v>
      </c>
      <c r="AE58" s="16">
        <f>'IS (Bull-Case)'!AE58-'IS (Base-Case)'!AE58</f>
        <v>0</v>
      </c>
      <c r="AF58" s="16">
        <f>'IS (Bull-Case)'!AF58-'IS (Base-Case)'!AF58</f>
        <v>0</v>
      </c>
      <c r="AG58" s="122">
        <f>'IS (Bull-Case)'!AG58-'IS (Base-Case)'!AG58</f>
        <v>0</v>
      </c>
      <c r="AH58" s="16">
        <f>'IS (Bull-Case)'!AH58-'IS (Base-Case)'!AH58</f>
        <v>0</v>
      </c>
      <c r="AI58" s="16">
        <f>'IS (Bull-Case)'!AI58-'IS (Base-Case)'!AI58</f>
        <v>0</v>
      </c>
      <c r="AJ58" s="16">
        <f>'IS (Bull-Case)'!AJ58-'IS (Base-Case)'!AJ58</f>
        <v>0</v>
      </c>
      <c r="AK58" s="16">
        <f>'IS (Bull-Case)'!AK58-'IS (Base-Case)'!AK58</f>
        <v>0</v>
      </c>
      <c r="AL58" s="122">
        <f>'IS (Bull-Case)'!AL58-'IS (Base-Case)'!AL58</f>
        <v>0</v>
      </c>
      <c r="AM58" s="16">
        <f>'IS (Bull-Case)'!AM58-'IS (Base-Case)'!AM58</f>
        <v>0</v>
      </c>
      <c r="AN58" s="16">
        <f>'IS (Bull-Case)'!AN58-'IS (Base-Case)'!AN58</f>
        <v>0</v>
      </c>
      <c r="AO58" s="16">
        <f>'IS (Bull-Case)'!AO58-'IS (Base-Case)'!AO58</f>
        <v>0</v>
      </c>
      <c r="AP58" s="16">
        <f>'IS (Bull-Case)'!AP58-'IS (Base-Case)'!AP58</f>
        <v>0</v>
      </c>
      <c r="AQ58" s="122">
        <f>'IS (Bull-Case)'!AQ58-'IS (Base-Case)'!AQ58</f>
        <v>0</v>
      </c>
      <c r="AR58" s="16">
        <f>'IS (Bull-Case)'!AR58-'IS (Base-Case)'!AR58</f>
        <v>0</v>
      </c>
      <c r="AS58" s="16">
        <f>'IS (Bull-Case)'!AS58-'IS (Base-Case)'!AS58</f>
        <v>0</v>
      </c>
      <c r="AT58" s="16">
        <f>'IS (Bull-Case)'!AT58-'IS (Base-Case)'!AT58</f>
        <v>0</v>
      </c>
      <c r="AU58" s="16">
        <f>'IS (Bull-Case)'!AU58-'IS (Base-Case)'!AU58</f>
        <v>0</v>
      </c>
      <c r="AV58" s="122">
        <f>'IS (Bull-Case)'!AV58-'IS (Base-Case)'!AV58</f>
        <v>0</v>
      </c>
    </row>
    <row r="59" spans="2:48" outlineLevel="1" x14ac:dyDescent="0.3">
      <c r="B59" s="449" t="s">
        <v>182</v>
      </c>
      <c r="C59" s="450"/>
      <c r="D59" s="115">
        <f>'IS (Bull-Case)'!D59-'IS (Base-Case)'!D59</f>
        <v>0</v>
      </c>
      <c r="E59" s="115">
        <f>'IS (Bull-Case)'!E59-'IS (Base-Case)'!E59</f>
        <v>0</v>
      </c>
      <c r="F59" s="115">
        <f>'IS (Bull-Case)'!F59-'IS (Base-Case)'!F59</f>
        <v>0</v>
      </c>
      <c r="G59" s="115">
        <f>'IS (Bull-Case)'!G59-'IS (Base-Case)'!G59</f>
        <v>0</v>
      </c>
      <c r="H59" s="132">
        <f>'IS (Bull-Case)'!H59-'IS (Base-Case)'!H59</f>
        <v>0</v>
      </c>
      <c r="I59" s="115">
        <f>'IS (Bull-Case)'!I59-'IS (Base-Case)'!I59</f>
        <v>0</v>
      </c>
      <c r="J59" s="115">
        <f>'IS (Bull-Case)'!J59-'IS (Base-Case)'!J59</f>
        <v>0</v>
      </c>
      <c r="K59" s="115">
        <f>'IS (Bull-Case)'!K59-'IS (Base-Case)'!K59</f>
        <v>0</v>
      </c>
      <c r="L59" s="72">
        <f>'IS (Bull-Case)'!L59-'IS (Base-Case)'!L59</f>
        <v>0</v>
      </c>
      <c r="M59" s="97">
        <f>'IS (Bull-Case)'!M59-'IS (Base-Case)'!M59</f>
        <v>0</v>
      </c>
      <c r="N59" s="72">
        <f>'IS (Bull-Case)'!N59-'IS (Base-Case)'!N59</f>
        <v>0</v>
      </c>
      <c r="O59" s="72">
        <f>'IS (Bull-Case)'!O59-'IS (Base-Case)'!O59</f>
        <v>0</v>
      </c>
      <c r="P59" s="72">
        <f>'IS (Bull-Case)'!P59-'IS (Base-Case)'!P59</f>
        <v>0</v>
      </c>
      <c r="Q59" s="115">
        <f>'IS (Bull-Case)'!Q59-'IS (Base-Case)'!Q59</f>
        <v>0</v>
      </c>
      <c r="R59" s="97">
        <f>'IS (Bull-Case)'!R59-'IS (Base-Case)'!R59</f>
        <v>0</v>
      </c>
      <c r="S59" s="72">
        <f>'IS (Bull-Case)'!S59-'IS (Base-Case)'!S59</f>
        <v>0</v>
      </c>
      <c r="T59" s="72">
        <f>'IS (Bull-Case)'!T59-'IS (Base-Case)'!T59</f>
        <v>0</v>
      </c>
      <c r="U59" s="72">
        <f>'IS (Bull-Case)'!U59-'IS (Base-Case)'!U59</f>
        <v>0</v>
      </c>
      <c r="V59" s="72">
        <f>'IS (Bull-Case)'!V59-'IS (Base-Case)'!V59</f>
        <v>0</v>
      </c>
      <c r="W59" s="97">
        <f>'IS (Bull-Case)'!W59-'IS (Base-Case)'!W59</f>
        <v>0</v>
      </c>
      <c r="X59" s="72">
        <f>'IS (Bull-Case)'!X59-'IS (Base-Case)'!X59</f>
        <v>88.38591966767035</v>
      </c>
      <c r="Y59" s="72">
        <f>'IS (Bull-Case)'!Y59-'IS (Base-Case)'!Y59</f>
        <v>84.123325497729638</v>
      </c>
      <c r="Z59" s="72">
        <f>'IS (Bull-Case)'!Z59-'IS (Base-Case)'!Z59</f>
        <v>93.549887937113454</v>
      </c>
      <c r="AA59" s="72">
        <f>'IS (Bull-Case)'!AA59-'IS (Base-Case)'!AA59</f>
        <v>91.565570660603953</v>
      </c>
      <c r="AB59" s="97">
        <f>'IS (Bull-Case)'!AB59-'IS (Base-Case)'!AB59</f>
        <v>357.6247037631183</v>
      </c>
      <c r="AC59" s="72">
        <f>'IS (Bull-Case)'!AC59-'IS (Base-Case)'!AC59</f>
        <v>193.79835277577513</v>
      </c>
      <c r="AD59" s="72">
        <f>'IS (Bull-Case)'!AD59-'IS (Base-Case)'!AD59</f>
        <v>184.6583487745238</v>
      </c>
      <c r="AE59" s="72">
        <f>'IS (Bull-Case)'!AE59-'IS (Base-Case)'!AE59</f>
        <v>203.36256800620868</v>
      </c>
      <c r="AF59" s="72">
        <f>'IS (Bull-Case)'!AF59-'IS (Base-Case)'!AF59</f>
        <v>199.2509359309679</v>
      </c>
      <c r="AG59" s="97">
        <f>'IS (Bull-Case)'!AG59-'IS (Base-Case)'!AG59</f>
        <v>781.07020548747823</v>
      </c>
      <c r="AH59" s="72">
        <f>'IS (Bull-Case)'!AH59-'IS (Base-Case)'!AH59</f>
        <v>321.77677937333374</v>
      </c>
      <c r="AI59" s="72">
        <f>'IS (Bull-Case)'!AI59-'IS (Base-Case)'!AI59</f>
        <v>306.97580154768457</v>
      </c>
      <c r="AJ59" s="72">
        <f>'IS (Bull-Case)'!AJ59-'IS (Base-Case)'!AJ59</f>
        <v>337.22634384223875</v>
      </c>
      <c r="AK59" s="72">
        <f>'IS (Bull-Case)'!AK59-'IS (Base-Case)'!AK59</f>
        <v>330.72419931725381</v>
      </c>
      <c r="AL59" s="97">
        <f>'IS (Bull-Case)'!AL59-'IS (Base-Case)'!AL59</f>
        <v>1296.7031240805081</v>
      </c>
      <c r="AM59" s="72">
        <f>'IS (Bull-Case)'!AM59-'IS (Base-Case)'!AM59</f>
        <v>349.28670031622642</v>
      </c>
      <c r="AN59" s="72">
        <f>'IS (Bull-Case)'!AN59-'IS (Base-Case)'!AN59</f>
        <v>333.13700317178609</v>
      </c>
      <c r="AO59" s="72">
        <f>'IS (Bull-Case)'!AO59-'IS (Base-Case)'!AO59</f>
        <v>365.86904070953824</v>
      </c>
      <c r="AP59" s="72">
        <f>'IS (Bull-Case)'!AP59-'IS (Base-Case)'!AP59</f>
        <v>358.7461520292527</v>
      </c>
      <c r="AQ59" s="97">
        <f>'IS (Bull-Case)'!AQ59-'IS (Base-Case)'!AQ59</f>
        <v>1407.0388962267971</v>
      </c>
      <c r="AR59" s="72">
        <f>'IS (Bull-Case)'!AR59-'IS (Base-Case)'!AR59</f>
        <v>371.54458817300838</v>
      </c>
      <c r="AS59" s="72">
        <f>'IS (Bull-Case)'!AS59-'IS (Base-Case)'!AS59</f>
        <v>354.24939652800822</v>
      </c>
      <c r="AT59" s="72">
        <f>'IS (Bull-Case)'!AT59-'IS (Base-Case)'!AT59</f>
        <v>388.99126604777848</v>
      </c>
      <c r="AU59" s="72">
        <f>'IS (Bull-Case)'!AU59-'IS (Base-Case)'!AU59</f>
        <v>381.34849816317546</v>
      </c>
      <c r="AV59" s="97">
        <f>'IS (Bull-Case)'!AV59-'IS (Base-Case)'!AV59</f>
        <v>1496.1337489119687</v>
      </c>
    </row>
    <row r="60" spans="2:48" outlineLevel="1" x14ac:dyDescent="0.3">
      <c r="B60" s="443" t="s">
        <v>100</v>
      </c>
      <c r="C60" s="444"/>
      <c r="D60" s="105">
        <f>'IS (Bull-Case)'!D60-'IS (Base-Case)'!D60</f>
        <v>0</v>
      </c>
      <c r="E60" s="105">
        <f>'IS (Bull-Case)'!E60-'IS (Base-Case)'!E60</f>
        <v>0</v>
      </c>
      <c r="F60" s="105">
        <f>'IS (Bull-Case)'!F60-'IS (Base-Case)'!F60</f>
        <v>0</v>
      </c>
      <c r="G60" s="105">
        <f>'IS (Bull-Case)'!G60-'IS (Base-Case)'!G60</f>
        <v>0</v>
      </c>
      <c r="H60" s="129">
        <f>'IS (Bull-Case)'!H60-'IS (Base-Case)'!H60</f>
        <v>0</v>
      </c>
      <c r="I60" s="105">
        <f>'IS (Bull-Case)'!I60-'IS (Base-Case)'!I60</f>
        <v>0</v>
      </c>
      <c r="J60" s="105">
        <f>'IS (Bull-Case)'!J60-'IS (Base-Case)'!J60</f>
        <v>0</v>
      </c>
      <c r="K60" s="105">
        <f>'IS (Bull-Case)'!K60-'IS (Base-Case)'!K60</f>
        <v>0</v>
      </c>
      <c r="L60" s="48">
        <f>'IS (Bull-Case)'!L60-'IS (Base-Case)'!L60</f>
        <v>0</v>
      </c>
      <c r="M60" s="76">
        <f>'IS (Bull-Case)'!M60-'IS (Base-Case)'!M60</f>
        <v>0</v>
      </c>
      <c r="N60" s="48">
        <f>'IS (Bull-Case)'!N60-'IS (Base-Case)'!N60</f>
        <v>0</v>
      </c>
      <c r="O60" s="48">
        <f>'IS (Bull-Case)'!O60-'IS (Base-Case)'!O60</f>
        <v>0</v>
      </c>
      <c r="P60" s="48">
        <f>'IS (Bull-Case)'!P60-'IS (Base-Case)'!P60</f>
        <v>0</v>
      </c>
      <c r="Q60" s="105">
        <f>'IS (Bull-Case)'!Q60-'IS (Base-Case)'!Q60</f>
        <v>0</v>
      </c>
      <c r="R60" s="76">
        <f>'IS (Bull-Case)'!R60-'IS (Base-Case)'!R60</f>
        <v>0</v>
      </c>
      <c r="S60" s="48">
        <f>'IS (Bull-Case)'!S60-'IS (Base-Case)'!S60</f>
        <v>0</v>
      </c>
      <c r="T60" s="48">
        <f>'IS (Bull-Case)'!T60-'IS (Base-Case)'!T60</f>
        <v>0</v>
      </c>
      <c r="U60" s="48">
        <f>'IS (Bull-Case)'!U60-'IS (Base-Case)'!U60</f>
        <v>0</v>
      </c>
      <c r="V60" s="48">
        <f>'IS (Bull-Case)'!V60-'IS (Base-Case)'!V60</f>
        <v>0</v>
      </c>
      <c r="W60" s="76">
        <f>'IS (Bull-Case)'!W60-'IS (Base-Case)'!W60</f>
        <v>0</v>
      </c>
      <c r="X60" s="48">
        <f>'IS (Bull-Case)'!X60-'IS (Base-Case)'!X60</f>
        <v>25.565530510102008</v>
      </c>
      <c r="Y60" s="48">
        <f>'IS (Bull-Case)'!Y60-'IS (Base-Case)'!Y60</f>
        <v>24.370449540482696</v>
      </c>
      <c r="Z60" s="48">
        <f>'IS (Bull-Case)'!Z60-'IS (Base-Case)'!Z60</f>
        <v>26.687999243456716</v>
      </c>
      <c r="AA60" s="48">
        <f>'IS (Bull-Case)'!AA60-'IS (Base-Case)'!AA60</f>
        <v>25.337550281840322</v>
      </c>
      <c r="AB60" s="76">
        <f>'IS (Bull-Case)'!AB60-'IS (Base-Case)'!AB60</f>
        <v>101.9615295758822</v>
      </c>
      <c r="AC60" s="48">
        <f>'IS (Bull-Case)'!AC60-'IS (Base-Case)'!AC60</f>
        <v>47.114865964461615</v>
      </c>
      <c r="AD60" s="48">
        <f>'IS (Bull-Case)'!AD60-'IS (Base-Case)'!AD60</f>
        <v>46.637416599750622</v>
      </c>
      <c r="AE60" s="48">
        <f>'IS (Bull-Case)'!AE60-'IS (Base-Case)'!AE60</f>
        <v>50.539578041308005</v>
      </c>
      <c r="AF60" s="48">
        <f>'IS (Bull-Case)'!AF60-'IS (Base-Case)'!AF60</f>
        <v>50.002641724107434</v>
      </c>
      <c r="AG60" s="76">
        <f>'IS (Bull-Case)'!AG60-'IS (Base-Case)'!AG60</f>
        <v>194.2945023296279</v>
      </c>
      <c r="AH60" s="48">
        <f>'IS (Bull-Case)'!AH60-'IS (Base-Case)'!AH60</f>
        <v>73.880492509066698</v>
      </c>
      <c r="AI60" s="48">
        <f>'IS (Bull-Case)'!AI60-'IS (Base-Case)'!AI60</f>
        <v>73.382407578141738</v>
      </c>
      <c r="AJ60" s="48">
        <f>'IS (Bull-Case)'!AJ60-'IS (Base-Case)'!AJ60</f>
        <v>79.238241086879498</v>
      </c>
      <c r="AK60" s="48">
        <f>'IS (Bull-Case)'!AK60-'IS (Base-Case)'!AK60</f>
        <v>78.515238904247781</v>
      </c>
      <c r="AL60" s="76">
        <f>'IS (Bull-Case)'!AL60-'IS (Base-Case)'!AL60</f>
        <v>305.01638007833571</v>
      </c>
      <c r="AM60" s="48">
        <f>'IS (Bull-Case)'!AM60-'IS (Base-Case)'!AM60</f>
        <v>80.196985981632224</v>
      </c>
      <c r="AN60" s="48">
        <f>'IS (Bull-Case)'!AN60-'IS (Base-Case)'!AN60</f>
        <v>79.636523937060701</v>
      </c>
      <c r="AO60" s="48">
        <f>'IS (Bull-Case)'!AO60-'IS (Base-Case)'!AO60</f>
        <v>85.968761011292372</v>
      </c>
      <c r="AP60" s="48">
        <f>'IS (Bull-Case)'!AP60-'IS (Base-Case)'!AP60</f>
        <v>85.168097338015741</v>
      </c>
      <c r="AQ60" s="76">
        <f>'IS (Bull-Case)'!AQ60-'IS (Base-Case)'!AQ60</f>
        <v>330.97036826800104</v>
      </c>
      <c r="AR60" s="48">
        <f>'IS (Bull-Case)'!AR60-'IS (Base-Case)'!AR60</f>
        <v>85.307968013390109</v>
      </c>
      <c r="AS60" s="48">
        <f>'IS (Bull-Case)'!AS60-'IS (Base-Case)'!AS60</f>
        <v>84.683964159274183</v>
      </c>
      <c r="AT60" s="48">
        <f>'IS (Bull-Case)'!AT60-'IS (Base-Case)'!AT60</f>
        <v>91.40206916159741</v>
      </c>
      <c r="AU60" s="48">
        <f>'IS (Bull-Case)'!AU60-'IS (Base-Case)'!AU60</f>
        <v>90.534254744869031</v>
      </c>
      <c r="AV60" s="76">
        <f>'IS (Bull-Case)'!AV60-'IS (Base-Case)'!AV60</f>
        <v>351.92825607913073</v>
      </c>
    </row>
    <row r="61" spans="2:48" s="184" customFormat="1" outlineLevel="1" x14ac:dyDescent="0.3">
      <c r="B61" s="181" t="s">
        <v>151</v>
      </c>
      <c r="C61" s="185"/>
      <c r="D61" s="167">
        <f>'IS (Bull-Case)'!D61-'IS (Base-Case)'!D61</f>
        <v>0</v>
      </c>
      <c r="E61" s="167">
        <f>'IS (Bull-Case)'!E61-'IS (Base-Case)'!E61</f>
        <v>0</v>
      </c>
      <c r="F61" s="167">
        <f>'IS (Bull-Case)'!F61-'IS (Base-Case)'!F61</f>
        <v>0</v>
      </c>
      <c r="G61" s="167">
        <f>'IS (Bull-Case)'!G61-'IS (Base-Case)'!G61</f>
        <v>0</v>
      </c>
      <c r="H61" s="186">
        <f>'IS (Bull-Case)'!H61-'IS (Base-Case)'!H61</f>
        <v>0</v>
      </c>
      <c r="I61" s="167">
        <f>'IS (Bull-Case)'!I61-'IS (Base-Case)'!I61</f>
        <v>0</v>
      </c>
      <c r="J61" s="167">
        <f>'IS (Bull-Case)'!J61-'IS (Base-Case)'!J61</f>
        <v>0</v>
      </c>
      <c r="K61" s="167">
        <f>'IS (Bull-Case)'!K61-'IS (Base-Case)'!K61</f>
        <v>0</v>
      </c>
      <c r="L61" s="187">
        <f>'IS (Bull-Case)'!L61-'IS (Base-Case)'!L61</f>
        <v>0</v>
      </c>
      <c r="M61" s="188">
        <f>'IS (Bull-Case)'!M61-'IS (Base-Case)'!M61</f>
        <v>0</v>
      </c>
      <c r="N61" s="187">
        <f>'IS (Bull-Case)'!N61-'IS (Base-Case)'!N61</f>
        <v>0</v>
      </c>
      <c r="O61" s="167">
        <f>'IS (Bull-Case)'!O61-'IS (Base-Case)'!O61</f>
        <v>0</v>
      </c>
      <c r="P61" s="167">
        <f>'IS (Bull-Case)'!P61-'IS (Base-Case)'!P61</f>
        <v>0</v>
      </c>
      <c r="Q61" s="167">
        <f>'IS (Bull-Case)'!Q61-'IS (Base-Case)'!Q61</f>
        <v>0</v>
      </c>
      <c r="R61" s="188">
        <f>'IS (Bull-Case)'!R61-'IS (Base-Case)'!R61</f>
        <v>0</v>
      </c>
      <c r="S61" s="187">
        <f>'IS (Bull-Case)'!S61-'IS (Base-Case)'!S61</f>
        <v>0</v>
      </c>
      <c r="T61" s="167">
        <f>'IS (Bull-Case)'!T61-'IS (Base-Case)'!T61</f>
        <v>0</v>
      </c>
      <c r="U61" s="167">
        <f>'IS (Bull-Case)'!U61-'IS (Base-Case)'!U61</f>
        <v>0</v>
      </c>
      <c r="V61" s="189">
        <f>'IS (Bull-Case)'!V61-'IS (Base-Case)'!V61</f>
        <v>0</v>
      </c>
      <c r="W61" s="188">
        <f>'IS (Bull-Case)'!W61-'IS (Base-Case)'!W61</f>
        <v>0</v>
      </c>
      <c r="X61" s="189">
        <f>'IS (Bull-Case)'!X61-'IS (Base-Case)'!X61</f>
        <v>0</v>
      </c>
      <c r="Y61" s="189">
        <f>'IS (Bull-Case)'!Y61-'IS (Base-Case)'!Y61</f>
        <v>0</v>
      </c>
      <c r="Z61" s="189">
        <f>'IS (Bull-Case)'!Z61-'IS (Base-Case)'!Z61</f>
        <v>0</v>
      </c>
      <c r="AA61" s="189">
        <f>'IS (Bull-Case)'!AA61-'IS (Base-Case)'!AA61</f>
        <v>0</v>
      </c>
      <c r="AB61" s="188">
        <f>'IS (Bull-Case)'!AB61-'IS (Base-Case)'!AB61</f>
        <v>-6.279732245872971E-7</v>
      </c>
      <c r="AC61" s="189">
        <f>'IS (Bull-Case)'!AC61-'IS (Base-Case)'!AC61</f>
        <v>-1.0000000000000009E-3</v>
      </c>
      <c r="AD61" s="189">
        <f>'IS (Bull-Case)'!AD61-'IS (Base-Case)'!AD61</f>
        <v>-1.0000000000000009E-3</v>
      </c>
      <c r="AE61" s="189">
        <f>'IS (Bull-Case)'!AE61-'IS (Base-Case)'!AE61</f>
        <v>-1.0000000000000009E-3</v>
      </c>
      <c r="AF61" s="189">
        <f>'IS (Bull-Case)'!AF61-'IS (Base-Case)'!AF61</f>
        <v>-1.0000000000000009E-3</v>
      </c>
      <c r="AG61" s="188">
        <f>'IS (Bull-Case)'!AG61-'IS (Base-Case)'!AG61</f>
        <v>-9.9988085012797656E-4</v>
      </c>
      <c r="AH61" s="189">
        <f>'IS (Bull-Case)'!AH61-'IS (Base-Case)'!AH61</f>
        <v>-2.0000000000000018E-3</v>
      </c>
      <c r="AI61" s="189">
        <f>'IS (Bull-Case)'!AI61-'IS (Base-Case)'!AI61</f>
        <v>-2.0000000000000018E-3</v>
      </c>
      <c r="AJ61" s="189">
        <f>'IS (Bull-Case)'!AJ61-'IS (Base-Case)'!AJ61</f>
        <v>-2.0000000000000018E-3</v>
      </c>
      <c r="AK61" s="189">
        <f>'IS (Bull-Case)'!AK61-'IS (Base-Case)'!AK61</f>
        <v>-2.0000000000000018E-3</v>
      </c>
      <c r="AL61" s="188">
        <f>'IS (Bull-Case)'!AL61-'IS (Base-Case)'!AL61</f>
        <v>-1.9998809603060108E-3</v>
      </c>
      <c r="AM61" s="189">
        <f>'IS (Bull-Case)'!AM61-'IS (Base-Case)'!AM61</f>
        <v>-2.0000000000000018E-3</v>
      </c>
      <c r="AN61" s="189">
        <f>'IS (Bull-Case)'!AN61-'IS (Base-Case)'!AN61</f>
        <v>-2.0000000000000018E-3</v>
      </c>
      <c r="AO61" s="189">
        <f>'IS (Bull-Case)'!AO61-'IS (Base-Case)'!AO61</f>
        <v>-2.0000000000000018E-3</v>
      </c>
      <c r="AP61" s="189">
        <f>'IS (Bull-Case)'!AP61-'IS (Base-Case)'!AP61</f>
        <v>-2.0000000000000018E-3</v>
      </c>
      <c r="AQ61" s="188">
        <f>'IS (Bull-Case)'!AQ61-'IS (Base-Case)'!AQ61</f>
        <v>-1.9998804180857421E-3</v>
      </c>
      <c r="AR61" s="189">
        <f>'IS (Bull-Case)'!AR61-'IS (Base-Case)'!AR61</f>
        <v>-2.0000000000000018E-3</v>
      </c>
      <c r="AS61" s="189">
        <f>'IS (Bull-Case)'!AS61-'IS (Base-Case)'!AS61</f>
        <v>-2.0000000000000018E-3</v>
      </c>
      <c r="AT61" s="189">
        <f>'IS (Bull-Case)'!AT61-'IS (Base-Case)'!AT61</f>
        <v>-2.0000000000000018E-3</v>
      </c>
      <c r="AU61" s="189">
        <f>'IS (Bull-Case)'!AU61-'IS (Base-Case)'!AU61</f>
        <v>-2.0000000000000018E-3</v>
      </c>
      <c r="AV61" s="188">
        <f>'IS (Bull-Case)'!AV61-'IS (Base-Case)'!AV61</f>
        <v>-1.9998805919858587E-3</v>
      </c>
    </row>
    <row r="62" spans="2:48" outlineLevel="1" x14ac:dyDescent="0.3">
      <c r="B62" s="180" t="s">
        <v>32</v>
      </c>
      <c r="C62" s="18"/>
      <c r="D62" s="48">
        <f>'IS (Bull-Case)'!D62-'IS (Base-Case)'!D62</f>
        <v>0</v>
      </c>
      <c r="E62" s="48">
        <f>'IS (Bull-Case)'!E62-'IS (Base-Case)'!E62</f>
        <v>0</v>
      </c>
      <c r="F62" s="48">
        <f>'IS (Bull-Case)'!F62-'IS (Base-Case)'!F62</f>
        <v>0</v>
      </c>
      <c r="G62" s="48">
        <f>'IS (Bull-Case)'!G62-'IS (Base-Case)'!G62</f>
        <v>0</v>
      </c>
      <c r="H62" s="49">
        <f>'IS (Bull-Case)'!H62-'IS (Base-Case)'!H62</f>
        <v>0</v>
      </c>
      <c r="I62" s="48">
        <f>'IS (Bull-Case)'!I62-'IS (Base-Case)'!I62</f>
        <v>0</v>
      </c>
      <c r="J62" s="48">
        <f>'IS (Bull-Case)'!J62-'IS (Base-Case)'!J62</f>
        <v>0</v>
      </c>
      <c r="K62" s="48">
        <f>'IS (Bull-Case)'!K62-'IS (Base-Case)'!K62</f>
        <v>0</v>
      </c>
      <c r="L62" s="48">
        <f>'IS (Bull-Case)'!L62-'IS (Base-Case)'!L62</f>
        <v>0</v>
      </c>
      <c r="M62" s="165">
        <f>'IS (Bull-Case)'!M62-'IS (Base-Case)'!M62</f>
        <v>0</v>
      </c>
      <c r="N62" s="48">
        <f>'IS (Bull-Case)'!N62-'IS (Base-Case)'!N62</f>
        <v>0</v>
      </c>
      <c r="O62" s="48">
        <f>'IS (Bull-Case)'!O62-'IS (Base-Case)'!O62</f>
        <v>0</v>
      </c>
      <c r="P62" s="48">
        <f>'IS (Bull-Case)'!P62-'IS (Base-Case)'!P62</f>
        <v>0</v>
      </c>
      <c r="Q62" s="105">
        <f>'IS (Bull-Case)'!Q62-'IS (Base-Case)'!Q62</f>
        <v>0</v>
      </c>
      <c r="R62" s="49">
        <f>'IS (Bull-Case)'!R62-'IS (Base-Case)'!R62</f>
        <v>0</v>
      </c>
      <c r="S62" s="48">
        <f>'IS (Bull-Case)'!S62-'IS (Base-Case)'!S62</f>
        <v>0</v>
      </c>
      <c r="T62" s="48">
        <f>'IS (Bull-Case)'!T62-'IS (Base-Case)'!T62</f>
        <v>0</v>
      </c>
      <c r="U62" s="48">
        <f>'IS (Bull-Case)'!U62-'IS (Base-Case)'!U62</f>
        <v>0</v>
      </c>
      <c r="V62" s="48">
        <f>'IS (Bull-Case)'!V62-'IS (Base-Case)'!V62</f>
        <v>0</v>
      </c>
      <c r="W62" s="49">
        <f>'IS (Bull-Case)'!W62-'IS (Base-Case)'!W62</f>
        <v>0</v>
      </c>
      <c r="X62" s="48">
        <f>'IS (Bull-Case)'!X62-'IS (Base-Case)'!X62</f>
        <v>42.152114658607388</v>
      </c>
      <c r="Y62" s="48">
        <f>'IS (Bull-Case)'!Y62-'IS (Base-Case)'!Y62</f>
        <v>40.800683926506736</v>
      </c>
      <c r="Z62" s="48">
        <f>'IS (Bull-Case)'!Z62-'IS (Base-Case)'!Z62</f>
        <v>42.08363150419882</v>
      </c>
      <c r="AA62" s="48">
        <f>'IS (Bull-Case)'!AA62-'IS (Base-Case)'!AA62</f>
        <v>41.956900234075874</v>
      </c>
      <c r="AB62" s="49">
        <f>'IS (Bull-Case)'!AB62-'IS (Base-Case)'!AB62</f>
        <v>166.99333032339018</v>
      </c>
      <c r="AC62" s="48">
        <f>'IS (Bull-Case)'!AC62-'IS (Base-Case)'!AC62</f>
        <v>84.067657647693068</v>
      </c>
      <c r="AD62" s="48">
        <f>'IS (Bull-Case)'!AD62-'IS (Base-Case)'!AD62</f>
        <v>83.117434329259595</v>
      </c>
      <c r="AE62" s="48">
        <f>'IS (Bull-Case)'!AE62-'IS (Base-Case)'!AE62</f>
        <v>84.559303032938715</v>
      </c>
      <c r="AF62" s="48">
        <f>'IS (Bull-Case)'!AF62-'IS (Base-Case)'!AF62</f>
        <v>86.490884278628528</v>
      </c>
      <c r="AG62" s="49">
        <f>'IS (Bull-Case)'!AG62-'IS (Base-Case)'!AG62</f>
        <v>338.23527928852127</v>
      </c>
      <c r="AH62" s="48">
        <f>'IS (Bull-Case)'!AH62-'IS (Base-Case)'!AH62</f>
        <v>135.3666666001759</v>
      </c>
      <c r="AI62" s="48">
        <f>'IS (Bull-Case)'!AI62-'IS (Base-Case)'!AI62</f>
        <v>134.14232775397886</v>
      </c>
      <c r="AJ62" s="48">
        <f>'IS (Bull-Case)'!AJ62-'IS (Base-Case)'!AJ62</f>
        <v>135.85100334693107</v>
      </c>
      <c r="AK62" s="48">
        <f>'IS (Bull-Case)'!AK62-'IS (Base-Case)'!AK62</f>
        <v>139.25531914919065</v>
      </c>
      <c r="AL62" s="49">
        <f>'IS (Bull-Case)'!AL62-'IS (Base-Case)'!AL62</f>
        <v>544.61531685027694</v>
      </c>
      <c r="AM62" s="48">
        <f>'IS (Bull-Case)'!AM62-'IS (Base-Case)'!AM62</f>
        <v>146.76191113022514</v>
      </c>
      <c r="AN62" s="48">
        <f>'IS (Bull-Case)'!AN62-'IS (Base-Case)'!AN62</f>
        <v>145.5283513728109</v>
      </c>
      <c r="AO62" s="48">
        <f>'IS (Bull-Case)'!AO62-'IS (Base-Case)'!AO62</f>
        <v>147.47559897895826</v>
      </c>
      <c r="AP62" s="48">
        <f>'IS (Bull-Case)'!AP62-'IS (Base-Case)'!AP62</f>
        <v>151.26559892898558</v>
      </c>
      <c r="AQ62" s="49">
        <f>'IS (Bull-Case)'!AQ62-'IS (Base-Case)'!AQ62</f>
        <v>591.03146041097898</v>
      </c>
      <c r="AR62" s="48">
        <f>'IS (Bull-Case)'!AR62-'IS (Base-Case)'!AR62</f>
        <v>156.40842438917571</v>
      </c>
      <c r="AS62" s="48">
        <f>'IS (Bull-Case)'!AS62-'IS (Base-Case)'!AS62</f>
        <v>155.0490804322626</v>
      </c>
      <c r="AT62" s="48">
        <f>'IS (Bull-Case)'!AT62-'IS (Base-Case)'!AT62</f>
        <v>157.07919112770514</v>
      </c>
      <c r="AU62" s="48">
        <f>'IS (Bull-Case)'!AU62-'IS (Base-Case)'!AU62</f>
        <v>161.07109372273862</v>
      </c>
      <c r="AV62" s="49">
        <f>'IS (Bull-Case)'!AV62-'IS (Base-Case)'!AV62</f>
        <v>629.60778967188162</v>
      </c>
    </row>
    <row r="63" spans="2:48" s="184" customFormat="1" outlineLevel="1" x14ac:dyDescent="0.3">
      <c r="B63" s="181" t="s">
        <v>150</v>
      </c>
      <c r="C63" s="190"/>
      <c r="D63" s="187">
        <f>'IS (Bull-Case)'!D63-'IS (Base-Case)'!D63</f>
        <v>0</v>
      </c>
      <c r="E63" s="187">
        <f>'IS (Bull-Case)'!E63-'IS (Base-Case)'!E63</f>
        <v>0</v>
      </c>
      <c r="F63" s="187">
        <f>'IS (Bull-Case)'!F63-'IS (Base-Case)'!F63</f>
        <v>0</v>
      </c>
      <c r="G63" s="187">
        <f>'IS (Bull-Case)'!G63-'IS (Base-Case)'!G63</f>
        <v>0</v>
      </c>
      <c r="H63" s="188">
        <f>'IS (Bull-Case)'!H63-'IS (Base-Case)'!H63</f>
        <v>0</v>
      </c>
      <c r="I63" s="187">
        <f>'IS (Bull-Case)'!I63-'IS (Base-Case)'!I63</f>
        <v>0</v>
      </c>
      <c r="J63" s="187">
        <f>'IS (Bull-Case)'!J63-'IS (Base-Case)'!J63</f>
        <v>0</v>
      </c>
      <c r="K63" s="187">
        <f>'IS (Bull-Case)'!K63-'IS (Base-Case)'!K63</f>
        <v>0</v>
      </c>
      <c r="L63" s="187">
        <f>'IS (Bull-Case)'!L63-'IS (Base-Case)'!L63</f>
        <v>0</v>
      </c>
      <c r="M63" s="188">
        <f>'IS (Bull-Case)'!M63-'IS (Base-Case)'!M63</f>
        <v>0</v>
      </c>
      <c r="N63" s="187">
        <f>'IS (Bull-Case)'!N63-'IS (Base-Case)'!N63</f>
        <v>0</v>
      </c>
      <c r="O63" s="187">
        <f>'IS (Bull-Case)'!O63-'IS (Base-Case)'!O63</f>
        <v>0</v>
      </c>
      <c r="P63" s="187">
        <f>'IS (Bull-Case)'!P63-'IS (Base-Case)'!P63</f>
        <v>0</v>
      </c>
      <c r="Q63" s="167">
        <f>'IS (Bull-Case)'!Q63-'IS (Base-Case)'!Q63</f>
        <v>0</v>
      </c>
      <c r="R63" s="188">
        <f>'IS (Bull-Case)'!R63-'IS (Base-Case)'!R63</f>
        <v>0</v>
      </c>
      <c r="S63" s="187">
        <f>'IS (Bull-Case)'!S63-'IS (Base-Case)'!S63</f>
        <v>0</v>
      </c>
      <c r="T63" s="187">
        <f>'IS (Bull-Case)'!T63-'IS (Base-Case)'!T63</f>
        <v>0</v>
      </c>
      <c r="U63" s="187">
        <f>'IS (Bull-Case)'!U63-'IS (Base-Case)'!U63</f>
        <v>0</v>
      </c>
      <c r="V63" s="189">
        <f>'IS (Bull-Case)'!V63-'IS (Base-Case)'!V63</f>
        <v>0</v>
      </c>
      <c r="W63" s="188">
        <f>'IS (Bull-Case)'!W63-'IS (Base-Case)'!W63</f>
        <v>0</v>
      </c>
      <c r="X63" s="189">
        <f>'IS (Bull-Case)'!X63-'IS (Base-Case)'!X63</f>
        <v>0</v>
      </c>
      <c r="Y63" s="189">
        <f>'IS (Bull-Case)'!Y63-'IS (Base-Case)'!Y63</f>
        <v>0</v>
      </c>
      <c r="Z63" s="189">
        <f>'IS (Bull-Case)'!Z63-'IS (Base-Case)'!Z63</f>
        <v>0</v>
      </c>
      <c r="AA63" s="189">
        <f>'IS (Bull-Case)'!AA63-'IS (Base-Case)'!AA63</f>
        <v>0</v>
      </c>
      <c r="AB63" s="188">
        <f>'IS (Bull-Case)'!AB63-'IS (Base-Case)'!AB63</f>
        <v>-2.0175645762954275E-6</v>
      </c>
      <c r="AC63" s="189">
        <f>'IS (Bull-Case)'!AC63-'IS (Base-Case)'!AC63</f>
        <v>-1.0000000000000009E-3</v>
      </c>
      <c r="AD63" s="189">
        <f>'IS (Bull-Case)'!AD63-'IS (Base-Case)'!AD63</f>
        <v>-1.0000000000000009E-3</v>
      </c>
      <c r="AE63" s="189">
        <f>'IS (Bull-Case)'!AE63-'IS (Base-Case)'!AE63</f>
        <v>-1.0000000000000009E-3</v>
      </c>
      <c r="AF63" s="189">
        <f>'IS (Bull-Case)'!AF63-'IS (Base-Case)'!AF63</f>
        <v>-1.0000000000000009E-3</v>
      </c>
      <c r="AG63" s="188">
        <f>'IS (Bull-Case)'!AG63-'IS (Base-Case)'!AG63</f>
        <v>-1.0013550782660419E-3</v>
      </c>
      <c r="AH63" s="189">
        <f>'IS (Bull-Case)'!AH63-'IS (Base-Case)'!AH63</f>
        <v>-2.0000000000000018E-3</v>
      </c>
      <c r="AI63" s="189">
        <f>'IS (Bull-Case)'!AI63-'IS (Base-Case)'!AI63</f>
        <v>-2.0000000000000018E-3</v>
      </c>
      <c r="AJ63" s="189">
        <f>'IS (Bull-Case)'!AJ63-'IS (Base-Case)'!AJ63</f>
        <v>-2.0000000000000018E-3</v>
      </c>
      <c r="AK63" s="189">
        <f>'IS (Bull-Case)'!AK63-'IS (Base-Case)'!AK63</f>
        <v>-2.0000000000000018E-3</v>
      </c>
      <c r="AL63" s="188">
        <f>'IS (Bull-Case)'!AL63-'IS (Base-Case)'!AL63</f>
        <v>-2.001355064050192E-3</v>
      </c>
      <c r="AM63" s="189">
        <f>'IS (Bull-Case)'!AM63-'IS (Base-Case)'!AM63</f>
        <v>-2.0000000000000018E-3</v>
      </c>
      <c r="AN63" s="189">
        <f>'IS (Bull-Case)'!AN63-'IS (Base-Case)'!AN63</f>
        <v>-2.0000000000000018E-3</v>
      </c>
      <c r="AO63" s="189">
        <f>'IS (Bull-Case)'!AO63-'IS (Base-Case)'!AO63</f>
        <v>-2.0000000000000018E-3</v>
      </c>
      <c r="AP63" s="189">
        <f>'IS (Bull-Case)'!AP63-'IS (Base-Case)'!AP63</f>
        <v>-2.0000000000000018E-3</v>
      </c>
      <c r="AQ63" s="188">
        <f>'IS (Bull-Case)'!AQ63-'IS (Base-Case)'!AQ63</f>
        <v>-2.0013550363386923E-3</v>
      </c>
      <c r="AR63" s="189">
        <f>'IS (Bull-Case)'!AR63-'IS (Base-Case)'!AR63</f>
        <v>-2.0000000000000018E-3</v>
      </c>
      <c r="AS63" s="189">
        <f>'IS (Bull-Case)'!AS63-'IS (Base-Case)'!AS63</f>
        <v>-2.0000000000000018E-3</v>
      </c>
      <c r="AT63" s="189">
        <f>'IS (Bull-Case)'!AT63-'IS (Base-Case)'!AT63</f>
        <v>-2.0000000000000018E-3</v>
      </c>
      <c r="AU63" s="189">
        <f>'IS (Bull-Case)'!AU63-'IS (Base-Case)'!AU63</f>
        <v>-2.0000000000000018E-3</v>
      </c>
      <c r="AV63" s="188">
        <f>'IS (Bull-Case)'!AV63-'IS (Base-Case)'!AV63</f>
        <v>-2.0013550487911758E-3</v>
      </c>
    </row>
    <row r="64" spans="2:48" outlineLevel="1" x14ac:dyDescent="0.3">
      <c r="B64" s="180" t="s">
        <v>33</v>
      </c>
      <c r="C64" s="18"/>
      <c r="D64" s="48">
        <f>'IS (Bull-Case)'!D64-'IS (Base-Case)'!D64</f>
        <v>0</v>
      </c>
      <c r="E64" s="48">
        <f>'IS (Bull-Case)'!E64-'IS (Base-Case)'!E64</f>
        <v>0</v>
      </c>
      <c r="F64" s="48">
        <f>'IS (Bull-Case)'!F64-'IS (Base-Case)'!F64</f>
        <v>0</v>
      </c>
      <c r="G64" s="48">
        <f>'IS (Bull-Case)'!G64-'IS (Base-Case)'!G64</f>
        <v>0</v>
      </c>
      <c r="H64" s="49">
        <f>'IS (Bull-Case)'!H64-'IS (Base-Case)'!H64</f>
        <v>0</v>
      </c>
      <c r="I64" s="48">
        <f>'IS (Bull-Case)'!I64-'IS (Base-Case)'!I64</f>
        <v>0</v>
      </c>
      <c r="J64" s="48">
        <f>'IS (Bull-Case)'!J64-'IS (Base-Case)'!J64</f>
        <v>0</v>
      </c>
      <c r="K64" s="48">
        <f>'IS (Bull-Case)'!K64-'IS (Base-Case)'!K64</f>
        <v>0</v>
      </c>
      <c r="L64" s="48">
        <f>'IS (Bull-Case)'!L64-'IS (Base-Case)'!L64</f>
        <v>0</v>
      </c>
      <c r="M64" s="49">
        <f>'IS (Bull-Case)'!M64-'IS (Base-Case)'!M64</f>
        <v>0</v>
      </c>
      <c r="N64" s="48">
        <f>'IS (Bull-Case)'!N64-'IS (Base-Case)'!N64</f>
        <v>0</v>
      </c>
      <c r="O64" s="48">
        <f>'IS (Bull-Case)'!O64-'IS (Base-Case)'!O64</f>
        <v>0</v>
      </c>
      <c r="P64" s="48">
        <f>'IS (Bull-Case)'!P64-'IS (Base-Case)'!P64</f>
        <v>0</v>
      </c>
      <c r="Q64" s="105">
        <f>'IS (Bull-Case)'!Q64-'IS (Base-Case)'!Q64</f>
        <v>0</v>
      </c>
      <c r="R64" s="49">
        <f>'IS (Bull-Case)'!R64-'IS (Base-Case)'!R64</f>
        <v>0</v>
      </c>
      <c r="S64" s="48">
        <f>'IS (Bull-Case)'!S64-'IS (Base-Case)'!S64</f>
        <v>0</v>
      </c>
      <c r="T64" s="48">
        <f>'IS (Bull-Case)'!T64-'IS (Base-Case)'!T64</f>
        <v>0</v>
      </c>
      <c r="U64" s="48">
        <f>'IS (Bull-Case)'!U64-'IS (Base-Case)'!U64</f>
        <v>0</v>
      </c>
      <c r="V64" s="48">
        <f>'IS (Bull-Case)'!V64-'IS (Base-Case)'!V64</f>
        <v>0</v>
      </c>
      <c r="W64" s="49">
        <f>'IS (Bull-Case)'!W64-'IS (Base-Case)'!W64</f>
        <v>0</v>
      </c>
      <c r="X64" s="48">
        <f>'IS (Bull-Case)'!X64-'IS (Base-Case)'!X64</f>
        <v>0.74319231861237256</v>
      </c>
      <c r="Y64" s="48">
        <f>'IS (Bull-Case)'!Y64-'IS (Base-Case)'!Y64</f>
        <v>0.72758481571571565</v>
      </c>
      <c r="Z64" s="48">
        <f>'IS (Bull-Case)'!Z64-'IS (Base-Case)'!Z64</f>
        <v>0.85545090976430771</v>
      </c>
      <c r="AA64" s="48">
        <f>'IS (Bull-Case)'!AA64-'IS (Base-Case)'!AA64</f>
        <v>0.82409013594543268</v>
      </c>
      <c r="AB64" s="49">
        <f>'IS (Bull-Case)'!AB64-'IS (Base-Case)'!AB64</f>
        <v>3.150318180037857</v>
      </c>
      <c r="AC64" s="48">
        <f>'IS (Bull-Case)'!AC64-'IS (Base-Case)'!AC64</f>
        <v>1.6295519431628449</v>
      </c>
      <c r="AD64" s="48">
        <f>'IS (Bull-Case)'!AD64-'IS (Base-Case)'!AD64</f>
        <v>1.5971148295499304</v>
      </c>
      <c r="AE64" s="48">
        <f>'IS (Bull-Case)'!AE64-'IS (Base-Case)'!AE64</f>
        <v>1.8596141336894192</v>
      </c>
      <c r="AF64" s="48">
        <f>'IS (Bull-Case)'!AF64-'IS (Base-Case)'!AF64</f>
        <v>1.7932584233787097</v>
      </c>
      <c r="AG64" s="49">
        <f>'IS (Bull-Case)'!AG64-'IS (Base-Case)'!AG64</f>
        <v>6.8795393297809255</v>
      </c>
      <c r="AH64" s="48">
        <f>'IS (Bull-Case)'!AH64-'IS (Base-Case)'!AH64</f>
        <v>2.7056575485921357</v>
      </c>
      <c r="AI64" s="48">
        <f>'IS (Bull-Case)'!AI64-'IS (Base-Case)'!AI64</f>
        <v>2.6550416388886546</v>
      </c>
      <c r="AJ64" s="48">
        <f>'IS (Bull-Case)'!AJ64-'IS (Base-Case)'!AJ64</f>
        <v>3.083708478948239</v>
      </c>
      <c r="AK64" s="48">
        <f>'IS (Bull-Case)'!AK64-'IS (Base-Case)'!AK64</f>
        <v>2.9765177938552796</v>
      </c>
      <c r="AL64" s="49">
        <f>'IS (Bull-Case)'!AL64-'IS (Base-Case)'!AL64</f>
        <v>11.420925460284252</v>
      </c>
      <c r="AM64" s="48">
        <f>'IS (Bull-Case)'!AM64-'IS (Base-Case)'!AM64</f>
        <v>2.9369745050402258</v>
      </c>
      <c r="AN64" s="48">
        <f>'IS (Bull-Case)'!AN64-'IS (Base-Case)'!AN64</f>
        <v>2.8813105476598366</v>
      </c>
      <c r="AO64" s="48">
        <f>'IS (Bull-Case)'!AO64-'IS (Base-Case)'!AO64</f>
        <v>3.3456267092480516</v>
      </c>
      <c r="AP64" s="48">
        <f>'IS (Bull-Case)'!AP64-'IS (Base-Case)'!AP64</f>
        <v>3.2287153682632805</v>
      </c>
      <c r="AQ64" s="49">
        <f>'IS (Bull-Case)'!AQ64-'IS (Base-Case)'!AQ64</f>
        <v>12.392627130211395</v>
      </c>
      <c r="AR64" s="48">
        <f>'IS (Bull-Case)'!AR64-'IS (Base-Case)'!AR64</f>
        <v>3.1241297821012637</v>
      </c>
      <c r="AS64" s="48">
        <f>'IS (Bull-Case)'!AS64-'IS (Base-Case)'!AS64</f>
        <v>3.063912183276571</v>
      </c>
      <c r="AT64" s="48">
        <f>'IS (Bull-Case)'!AT64-'IS (Base-Case)'!AT64</f>
        <v>3.5570639342148098</v>
      </c>
      <c r="AU64" s="48">
        <f>'IS (Bull-Case)'!AU64-'IS (Base-Case)'!AU64</f>
        <v>3.4321364834685824</v>
      </c>
      <c r="AV64" s="49">
        <f>'IS (Bull-Case)'!AV64-'IS (Base-Case)'!AV64</f>
        <v>13.177242383061298</v>
      </c>
    </row>
    <row r="65" spans="2:48" s="184" customFormat="1" outlineLevel="1" x14ac:dyDescent="0.3">
      <c r="B65" s="181" t="s">
        <v>152</v>
      </c>
      <c r="C65" s="190"/>
      <c r="D65" s="187">
        <f>'IS (Bull-Case)'!D65-'IS (Base-Case)'!D65</f>
        <v>0</v>
      </c>
      <c r="E65" s="187">
        <f>'IS (Bull-Case)'!E65-'IS (Base-Case)'!E65</f>
        <v>0</v>
      </c>
      <c r="F65" s="187">
        <f>'IS (Bull-Case)'!F65-'IS (Base-Case)'!F65</f>
        <v>0</v>
      </c>
      <c r="G65" s="187">
        <f>'IS (Bull-Case)'!G65-'IS (Base-Case)'!G65</f>
        <v>0</v>
      </c>
      <c r="H65" s="188">
        <f>'IS (Bull-Case)'!H65-'IS (Base-Case)'!H65</f>
        <v>0</v>
      </c>
      <c r="I65" s="187">
        <f>'IS (Bull-Case)'!I65-'IS (Base-Case)'!I65</f>
        <v>0</v>
      </c>
      <c r="J65" s="187">
        <f>'IS (Bull-Case)'!J65-'IS (Base-Case)'!J65</f>
        <v>0</v>
      </c>
      <c r="K65" s="187">
        <f>'IS (Bull-Case)'!K65-'IS (Base-Case)'!K65</f>
        <v>0</v>
      </c>
      <c r="L65" s="187">
        <f>'IS (Bull-Case)'!L65-'IS (Base-Case)'!L65</f>
        <v>0</v>
      </c>
      <c r="M65" s="188">
        <f>'IS (Bull-Case)'!M65-'IS (Base-Case)'!M65</f>
        <v>0</v>
      </c>
      <c r="N65" s="187">
        <f>'IS (Bull-Case)'!N65-'IS (Base-Case)'!N65</f>
        <v>0</v>
      </c>
      <c r="O65" s="187">
        <f>'IS (Bull-Case)'!O65-'IS (Base-Case)'!O65</f>
        <v>0</v>
      </c>
      <c r="P65" s="187">
        <f>'IS (Bull-Case)'!P65-'IS (Base-Case)'!P65</f>
        <v>0</v>
      </c>
      <c r="Q65" s="167">
        <f>'IS (Bull-Case)'!Q65-'IS (Base-Case)'!Q65</f>
        <v>0</v>
      </c>
      <c r="R65" s="188">
        <f>'IS (Bull-Case)'!R65-'IS (Base-Case)'!R65</f>
        <v>0</v>
      </c>
      <c r="S65" s="187">
        <f>'IS (Bull-Case)'!S65-'IS (Base-Case)'!S65</f>
        <v>0</v>
      </c>
      <c r="T65" s="187">
        <f>'IS (Bull-Case)'!T65-'IS (Base-Case)'!T65</f>
        <v>0</v>
      </c>
      <c r="U65" s="187">
        <f>'IS (Bull-Case)'!U65-'IS (Base-Case)'!U65</f>
        <v>0</v>
      </c>
      <c r="V65" s="189">
        <f>'IS (Bull-Case)'!V65-'IS (Base-Case)'!V65</f>
        <v>0</v>
      </c>
      <c r="W65" s="188">
        <f>'IS (Bull-Case)'!W65-'IS (Base-Case)'!W65</f>
        <v>0</v>
      </c>
      <c r="X65" s="189">
        <f>'IS (Bull-Case)'!X65-'IS (Base-Case)'!X65</f>
        <v>0</v>
      </c>
      <c r="Y65" s="189">
        <f>'IS (Bull-Case)'!Y65-'IS (Base-Case)'!Y65</f>
        <v>0</v>
      </c>
      <c r="Z65" s="189">
        <f>'IS (Bull-Case)'!Z65-'IS (Base-Case)'!Z65</f>
        <v>0</v>
      </c>
      <c r="AA65" s="189">
        <f>'IS (Bull-Case)'!AA65-'IS (Base-Case)'!AA65</f>
        <v>0</v>
      </c>
      <c r="AB65" s="188">
        <f>'IS (Bull-Case)'!AB65-'IS (Base-Case)'!AB65</f>
        <v>4.0742741368171576E-8</v>
      </c>
      <c r="AC65" s="189">
        <f>'IS (Bull-Case)'!AC65-'IS (Base-Case)'!AC65</f>
        <v>0</v>
      </c>
      <c r="AD65" s="189">
        <f>'IS (Bull-Case)'!AD65-'IS (Base-Case)'!AD65</f>
        <v>0</v>
      </c>
      <c r="AE65" s="189">
        <f>'IS (Bull-Case)'!AE65-'IS (Base-Case)'!AE65</f>
        <v>0</v>
      </c>
      <c r="AF65" s="189">
        <f>'IS (Bull-Case)'!AF65-'IS (Base-Case)'!AF65</f>
        <v>0</v>
      </c>
      <c r="AG65" s="188">
        <f>'IS (Bull-Case)'!AG65-'IS (Base-Case)'!AG65</f>
        <v>4.0821575392549492E-8</v>
      </c>
      <c r="AH65" s="189">
        <f>'IS (Bull-Case)'!AH65-'IS (Base-Case)'!AH65</f>
        <v>0</v>
      </c>
      <c r="AI65" s="189">
        <f>'IS (Bull-Case)'!AI65-'IS (Base-Case)'!AI65</f>
        <v>0</v>
      </c>
      <c r="AJ65" s="189">
        <f>'IS (Bull-Case)'!AJ65-'IS (Base-Case)'!AJ65</f>
        <v>0</v>
      </c>
      <c r="AK65" s="189">
        <f>'IS (Bull-Case)'!AK65-'IS (Base-Case)'!AK65</f>
        <v>0</v>
      </c>
      <c r="AL65" s="188">
        <f>'IS (Bull-Case)'!AL65-'IS (Base-Case)'!AL65</f>
        <v>4.0905421482342885E-8</v>
      </c>
      <c r="AM65" s="189">
        <f>'IS (Bull-Case)'!AM65-'IS (Base-Case)'!AM65</f>
        <v>0</v>
      </c>
      <c r="AN65" s="189">
        <f>'IS (Bull-Case)'!AN65-'IS (Base-Case)'!AN65</f>
        <v>0</v>
      </c>
      <c r="AO65" s="189">
        <f>'IS (Bull-Case)'!AO65-'IS (Base-Case)'!AO65</f>
        <v>0</v>
      </c>
      <c r="AP65" s="189">
        <f>'IS (Bull-Case)'!AP65-'IS (Base-Case)'!AP65</f>
        <v>0</v>
      </c>
      <c r="AQ65" s="188">
        <f>'IS (Bull-Case)'!AQ65-'IS (Base-Case)'!AQ65</f>
        <v>4.0948001217219754E-8</v>
      </c>
      <c r="AR65" s="189">
        <f>'IS (Bull-Case)'!AR65-'IS (Base-Case)'!AR65</f>
        <v>0</v>
      </c>
      <c r="AS65" s="189">
        <f>'IS (Bull-Case)'!AS65-'IS (Base-Case)'!AS65</f>
        <v>0</v>
      </c>
      <c r="AT65" s="189">
        <f>'IS (Bull-Case)'!AT65-'IS (Base-Case)'!AT65</f>
        <v>0</v>
      </c>
      <c r="AU65" s="189">
        <f>'IS (Bull-Case)'!AU65-'IS (Base-Case)'!AU65</f>
        <v>0</v>
      </c>
      <c r="AV65" s="188">
        <f>'IS (Bull-Case)'!AV65-'IS (Base-Case)'!AV65</f>
        <v>4.0857765311666516E-8</v>
      </c>
    </row>
    <row r="66" spans="2:48" outlineLevel="1" x14ac:dyDescent="0.3">
      <c r="B66" s="180" t="s">
        <v>34</v>
      </c>
      <c r="C66" s="18"/>
      <c r="D66" s="358">
        <f>'IS (Bull-Case)'!D66-'IS (Base-Case)'!D66</f>
        <v>0</v>
      </c>
      <c r="E66" s="358">
        <f>'IS (Bull-Case)'!E66-'IS (Base-Case)'!E66</f>
        <v>0</v>
      </c>
      <c r="F66" s="358">
        <f>'IS (Bull-Case)'!F66-'IS (Base-Case)'!F66</f>
        <v>0</v>
      </c>
      <c r="G66" s="358">
        <f>'IS (Bull-Case)'!G66-'IS (Base-Case)'!G66</f>
        <v>0</v>
      </c>
      <c r="H66" s="130">
        <f>'IS (Bull-Case)'!H66-'IS (Base-Case)'!H66</f>
        <v>0</v>
      </c>
      <c r="I66" s="358">
        <f>'IS (Bull-Case)'!I66-'IS (Base-Case)'!I66</f>
        <v>0</v>
      </c>
      <c r="J66" s="358">
        <f>'IS (Bull-Case)'!J66-'IS (Base-Case)'!J66</f>
        <v>0</v>
      </c>
      <c r="K66" s="358">
        <f>'IS (Bull-Case)'!K66-'IS (Base-Case)'!K66</f>
        <v>0</v>
      </c>
      <c r="L66" s="358">
        <f>'IS (Bull-Case)'!L66-'IS (Base-Case)'!L66</f>
        <v>0</v>
      </c>
      <c r="M66" s="359">
        <f>'IS (Bull-Case)'!M66-'IS (Base-Case)'!M66</f>
        <v>0</v>
      </c>
      <c r="N66" s="358">
        <f>'IS (Bull-Case)'!N66-'IS (Base-Case)'!N66</f>
        <v>0</v>
      </c>
      <c r="O66" s="358">
        <f>'IS (Bull-Case)'!O66-'IS (Base-Case)'!O66</f>
        <v>0</v>
      </c>
      <c r="P66" s="358">
        <f>'IS (Bull-Case)'!P66-'IS (Base-Case)'!P66</f>
        <v>0</v>
      </c>
      <c r="Q66" s="358">
        <f>'IS (Bull-Case)'!Q66-'IS (Base-Case)'!Q66</f>
        <v>0</v>
      </c>
      <c r="R66" s="170">
        <f>'IS (Bull-Case)'!R66-'IS (Base-Case)'!R66</f>
        <v>0</v>
      </c>
      <c r="S66" s="358">
        <f>'IS (Bull-Case)'!S66-'IS (Base-Case)'!S66</f>
        <v>0</v>
      </c>
      <c r="T66" s="358">
        <f>'IS (Bull-Case)'!T66-'IS (Base-Case)'!T66</f>
        <v>0</v>
      </c>
      <c r="U66" s="358">
        <f>'IS (Bull-Case)'!U66-'IS (Base-Case)'!U66</f>
        <v>0</v>
      </c>
      <c r="V66" s="358">
        <f>'IS (Bull-Case)'!V66-'IS (Base-Case)'!V66</f>
        <v>0</v>
      </c>
      <c r="W66" s="170">
        <f>'IS (Bull-Case)'!W66-'IS (Base-Case)'!W66</f>
        <v>0</v>
      </c>
      <c r="X66" s="358">
        <f>'IS (Bull-Case)'!X66-'IS (Base-Case)'!X66</f>
        <v>0</v>
      </c>
      <c r="Y66" s="358">
        <f>'IS (Bull-Case)'!Y66-'IS (Base-Case)'!Y66</f>
        <v>3.5600103875594868E-3</v>
      </c>
      <c r="Z66" s="358">
        <f>'IS (Bull-Case)'!Z66-'IS (Base-Case)'!Z66</f>
        <v>3.1720768001548549E-3</v>
      </c>
      <c r="AA66" s="358">
        <f>'IS (Bull-Case)'!AA66-'IS (Base-Case)'!AA66</f>
        <v>6.343431061083038E-3</v>
      </c>
      <c r="AB66" s="170">
        <f>'IS (Bull-Case)'!AB66-'IS (Base-Case)'!AB66</f>
        <v>1.307551824879738E-2</v>
      </c>
      <c r="AC66" s="358">
        <f>'IS (Bull-Case)'!AC66-'IS (Base-Case)'!AC66</f>
        <v>-7.9403643610476138E-4</v>
      </c>
      <c r="AD66" s="358">
        <f>'IS (Bull-Case)'!AD66-'IS (Base-Case)'!AD66</f>
        <v>7.8079989876300715E-4</v>
      </c>
      <c r="AE66" s="358">
        <f>'IS (Bull-Case)'!AE66-'IS (Base-Case)'!AE66</f>
        <v>5.3617245910686506E-3</v>
      </c>
      <c r="AF66" s="358">
        <f>'IS (Bull-Case)'!AF66-'IS (Base-Case)'!AF66</f>
        <v>1.2283073986509407E-2</v>
      </c>
      <c r="AG66" s="170">
        <f>'IS (Bull-Case)'!AG66-'IS (Base-Case)'!AG66</f>
        <v>1.7631562040151039E-2</v>
      </c>
      <c r="AH66" s="358">
        <f>'IS (Bull-Case)'!AH66-'IS (Base-Case)'!AH66</f>
        <v>-1.8647299078224933E-3</v>
      </c>
      <c r="AI66" s="358">
        <f>'IS (Bull-Case)'!AI66-'IS (Base-Case)'!AI66</f>
        <v>7.7606138125929647E-4</v>
      </c>
      <c r="AJ66" s="358">
        <f>'IS (Bull-Case)'!AJ66-'IS (Base-Case)'!AJ66</f>
        <v>9.0129295481915506E-3</v>
      </c>
      <c r="AK66" s="358">
        <f>'IS (Bull-Case)'!AK66-'IS (Base-Case)'!AK66</f>
        <v>1.8668641746785397E-2</v>
      </c>
      <c r="AL66" s="170">
        <f>'IS (Bull-Case)'!AL66-'IS (Base-Case)'!AL66</f>
        <v>2.6592902768470594E-2</v>
      </c>
      <c r="AM66" s="358">
        <f>'IS (Bull-Case)'!AM66-'IS (Base-Case)'!AM66</f>
        <v>-3.4795826196614144E-3</v>
      </c>
      <c r="AN66" s="358">
        <f>'IS (Bull-Case)'!AN66-'IS (Base-Case)'!AN66</f>
        <v>-9.7894719214082215E-3</v>
      </c>
      <c r="AO66" s="358">
        <f>'IS (Bull-Case)'!AO66-'IS (Base-Case)'!AO66</f>
        <v>-5.7828100466963406E-3</v>
      </c>
      <c r="AP66" s="358">
        <f>'IS (Bull-Case)'!AP66-'IS (Base-Case)'!AP66</f>
        <v>1.9576553731326385E-3</v>
      </c>
      <c r="AQ66" s="170">
        <f>'IS (Bull-Case)'!AQ66-'IS (Base-Case)'!AQ66</f>
        <v>-1.7094209214519651E-2</v>
      </c>
      <c r="AR66" s="358">
        <f>'IS (Bull-Case)'!AR66-'IS (Base-Case)'!AR66</f>
        <v>-2.2672158091779693E-2</v>
      </c>
      <c r="AS66" s="358">
        <f>'IS (Bull-Case)'!AS66-'IS (Base-Case)'!AS66</f>
        <v>-2.9151558358023522E-2</v>
      </c>
      <c r="AT66" s="358">
        <f>'IS (Bull-Case)'!AT66-'IS (Base-Case)'!AT66</f>
        <v>-2.434203875793628E-2</v>
      </c>
      <c r="AU66" s="358">
        <f>'IS (Bull-Case)'!AU66-'IS (Base-Case)'!AU66</f>
        <v>-1.5619096114619424E-2</v>
      </c>
      <c r="AV66" s="170">
        <f>'IS (Bull-Case)'!AV66-'IS (Base-Case)'!AV66</f>
        <v>-9.1784851322699978E-2</v>
      </c>
    </row>
    <row r="67" spans="2:48" outlineLevel="1" x14ac:dyDescent="0.3">
      <c r="B67" s="180" t="s">
        <v>35</v>
      </c>
      <c r="C67" s="18"/>
      <c r="D67" s="48">
        <f>'IS (Bull-Case)'!D67-'IS (Base-Case)'!D67</f>
        <v>0</v>
      </c>
      <c r="E67" s="48">
        <f>'IS (Bull-Case)'!E67-'IS (Base-Case)'!E67</f>
        <v>0</v>
      </c>
      <c r="F67" s="48">
        <f>'IS (Bull-Case)'!F67-'IS (Base-Case)'!F67</f>
        <v>0</v>
      </c>
      <c r="G67" s="48">
        <f>'IS (Bull-Case)'!G67-'IS (Base-Case)'!G67</f>
        <v>0</v>
      </c>
      <c r="H67" s="49">
        <f>'IS (Bull-Case)'!H67-'IS (Base-Case)'!H67</f>
        <v>0</v>
      </c>
      <c r="I67" s="48">
        <f>'IS (Bull-Case)'!I67-'IS (Base-Case)'!I67</f>
        <v>0</v>
      </c>
      <c r="J67" s="48">
        <f>'IS (Bull-Case)'!J67-'IS (Base-Case)'!J67</f>
        <v>0</v>
      </c>
      <c r="K67" s="48">
        <f>'IS (Bull-Case)'!K67-'IS (Base-Case)'!K67</f>
        <v>0</v>
      </c>
      <c r="L67" s="48">
        <f>'IS (Bull-Case)'!L67-'IS (Base-Case)'!L67</f>
        <v>0</v>
      </c>
      <c r="M67" s="165">
        <f>'IS (Bull-Case)'!M67-'IS (Base-Case)'!M67</f>
        <v>0</v>
      </c>
      <c r="N67" s="48">
        <f>'IS (Bull-Case)'!N67-'IS (Base-Case)'!N67</f>
        <v>0</v>
      </c>
      <c r="O67" s="48">
        <f>'IS (Bull-Case)'!O67-'IS (Base-Case)'!O67</f>
        <v>0</v>
      </c>
      <c r="P67" s="48">
        <f>'IS (Bull-Case)'!P67-'IS (Base-Case)'!P67</f>
        <v>0</v>
      </c>
      <c r="Q67" s="105">
        <f>'IS (Bull-Case)'!Q67-'IS (Base-Case)'!Q67</f>
        <v>0</v>
      </c>
      <c r="R67" s="49">
        <f>'IS (Bull-Case)'!R67-'IS (Base-Case)'!R67</f>
        <v>0</v>
      </c>
      <c r="S67" s="48">
        <f>'IS (Bull-Case)'!S67-'IS (Base-Case)'!S67</f>
        <v>0</v>
      </c>
      <c r="T67" s="48">
        <f>'IS (Bull-Case)'!T67-'IS (Base-Case)'!T67</f>
        <v>0</v>
      </c>
      <c r="U67" s="48">
        <f>'IS (Bull-Case)'!U67-'IS (Base-Case)'!U67</f>
        <v>0</v>
      </c>
      <c r="V67" s="48">
        <f>'IS (Bull-Case)'!V67-'IS (Base-Case)'!V67</f>
        <v>0</v>
      </c>
      <c r="W67" s="49">
        <f>'IS (Bull-Case)'!W67-'IS (Base-Case)'!W67</f>
        <v>0</v>
      </c>
      <c r="X67" s="48">
        <f>'IS (Bull-Case)'!X67-'IS (Base-Case)'!X67</f>
        <v>1.6245613584538887</v>
      </c>
      <c r="Y67" s="48">
        <f>'IS (Bull-Case)'!Y67-'IS (Base-Case)'!Y67</f>
        <v>1.3117265167279868</v>
      </c>
      <c r="Z67" s="48">
        <f>'IS (Bull-Case)'!Z67-'IS (Base-Case)'!Z67</f>
        <v>1.4151381602213036</v>
      </c>
      <c r="AA67" s="48">
        <f>'IS (Bull-Case)'!AA67-'IS (Base-Case)'!AA67</f>
        <v>1.4745743014200912</v>
      </c>
      <c r="AB67" s="49">
        <f>'IS (Bull-Case)'!AB67-'IS (Base-Case)'!AB67</f>
        <v>5.8260003368233129</v>
      </c>
      <c r="AC67" s="48">
        <f>'IS (Bull-Case)'!AC67-'IS (Base-Case)'!AC67</f>
        <v>2.9806803993397182</v>
      </c>
      <c r="AD67" s="48">
        <f>'IS (Bull-Case)'!AD67-'IS (Base-Case)'!AD67</f>
        <v>3.2486756766384417</v>
      </c>
      <c r="AE67" s="48">
        <f>'IS (Bull-Case)'!AE67-'IS (Base-Case)'!AE67</f>
        <v>2.8729225745226756</v>
      </c>
      <c r="AF67" s="48">
        <f>'IS (Bull-Case)'!AF67-'IS (Base-Case)'!AF67</f>
        <v>3.0094912532783553</v>
      </c>
      <c r="AG67" s="49">
        <f>'IS (Bull-Case)'!AG67-'IS (Base-Case)'!AG67</f>
        <v>12.111769903779191</v>
      </c>
      <c r="AH67" s="48">
        <f>'IS (Bull-Case)'!AH67-'IS (Base-Case)'!AH67</f>
        <v>4.6272525880251294</v>
      </c>
      <c r="AI67" s="48">
        <f>'IS (Bull-Case)'!AI67-'IS (Base-Case)'!AI67</f>
        <v>5.0936184657727495</v>
      </c>
      <c r="AJ67" s="48">
        <f>'IS (Bull-Case)'!AJ67-'IS (Base-Case)'!AJ67</f>
        <v>4.4268026780500094</v>
      </c>
      <c r="AK67" s="48">
        <f>'IS (Bull-Case)'!AK67-'IS (Base-Case)'!AK67</f>
        <v>4.6645426005214858</v>
      </c>
      <c r="AL67" s="49">
        <f>'IS (Bull-Case)'!AL67-'IS (Base-Case)'!AL67</f>
        <v>18.81221633236936</v>
      </c>
      <c r="AM67" s="48">
        <f>'IS (Bull-Case)'!AM67-'IS (Base-Case)'!AM67</f>
        <v>5.0228540143532712</v>
      </c>
      <c r="AN67" s="48">
        <f>'IS (Bull-Case)'!AN67-'IS (Base-Case)'!AN67</f>
        <v>5.5277086416351153</v>
      </c>
      <c r="AO67" s="48">
        <f>'IS (Bull-Case)'!AO67-'IS (Base-Case)'!AO67</f>
        <v>4.8027981170601208</v>
      </c>
      <c r="AP67" s="48">
        <f>'IS (Bull-Case)'!AP67-'IS (Base-Case)'!AP67</f>
        <v>5.0597649412052164</v>
      </c>
      <c r="AQ67" s="49">
        <f>'IS (Bull-Case)'!AQ67-'IS (Base-Case)'!AQ67</f>
        <v>20.413125714253681</v>
      </c>
      <c r="AR67" s="48">
        <f>'IS (Bull-Case)'!AR67-'IS (Base-Case)'!AR67</f>
        <v>5.3429295318901495</v>
      </c>
      <c r="AS67" s="48">
        <f>'IS (Bull-Case)'!AS67-'IS (Base-Case)'!AS67</f>
        <v>5.8780244519163602</v>
      </c>
      <c r="AT67" s="48">
        <f>'IS (Bull-Case)'!AT67-'IS (Base-Case)'!AT67</f>
        <v>5.1063257948908927</v>
      </c>
      <c r="AU67" s="48">
        <f>'IS (Bull-Case)'!AU67-'IS (Base-Case)'!AU67</f>
        <v>5.3785490115304668</v>
      </c>
      <c r="AV67" s="49">
        <f>'IS (Bull-Case)'!AV67-'IS (Base-Case)'!AV67</f>
        <v>21.705828790227827</v>
      </c>
    </row>
    <row r="68" spans="2:48" s="184" customFormat="1" outlineLevel="1" x14ac:dyDescent="0.3">
      <c r="B68" s="181" t="s">
        <v>153</v>
      </c>
      <c r="C68" s="190"/>
      <c r="D68" s="187">
        <f>'IS (Bull-Case)'!D68-'IS (Base-Case)'!D68</f>
        <v>0</v>
      </c>
      <c r="E68" s="187">
        <f>'IS (Bull-Case)'!E68-'IS (Base-Case)'!E68</f>
        <v>0</v>
      </c>
      <c r="F68" s="187">
        <f>'IS (Bull-Case)'!F68-'IS (Base-Case)'!F68</f>
        <v>0</v>
      </c>
      <c r="G68" s="187">
        <f>'IS (Bull-Case)'!G68-'IS (Base-Case)'!G68</f>
        <v>0</v>
      </c>
      <c r="H68" s="188">
        <f>'IS (Bull-Case)'!H68-'IS (Base-Case)'!H68</f>
        <v>0</v>
      </c>
      <c r="I68" s="187">
        <f>'IS (Bull-Case)'!I68-'IS (Base-Case)'!I68</f>
        <v>0</v>
      </c>
      <c r="J68" s="187">
        <f>'IS (Bull-Case)'!J68-'IS (Base-Case)'!J68</f>
        <v>0</v>
      </c>
      <c r="K68" s="187">
        <f>'IS (Bull-Case)'!K68-'IS (Base-Case)'!K68</f>
        <v>0</v>
      </c>
      <c r="L68" s="187">
        <f>'IS (Bull-Case)'!L68-'IS (Base-Case)'!L68</f>
        <v>0</v>
      </c>
      <c r="M68" s="188">
        <f>'IS (Bull-Case)'!M68-'IS (Base-Case)'!M68</f>
        <v>0</v>
      </c>
      <c r="N68" s="187">
        <f>'IS (Bull-Case)'!N68-'IS (Base-Case)'!N68</f>
        <v>0</v>
      </c>
      <c r="O68" s="187">
        <f>'IS (Bull-Case)'!O68-'IS (Base-Case)'!O68</f>
        <v>0</v>
      </c>
      <c r="P68" s="187">
        <f>'IS (Bull-Case)'!P68-'IS (Base-Case)'!P68</f>
        <v>0</v>
      </c>
      <c r="Q68" s="167">
        <f>'IS (Bull-Case)'!Q68-'IS (Base-Case)'!Q68</f>
        <v>0</v>
      </c>
      <c r="R68" s="188">
        <f>'IS (Bull-Case)'!R68-'IS (Base-Case)'!R68</f>
        <v>0</v>
      </c>
      <c r="S68" s="187">
        <f>'IS (Bull-Case)'!S68-'IS (Base-Case)'!S68</f>
        <v>0</v>
      </c>
      <c r="T68" s="187">
        <f>'IS (Bull-Case)'!T68-'IS (Base-Case)'!T68</f>
        <v>0</v>
      </c>
      <c r="U68" s="187">
        <f>'IS (Bull-Case)'!U68-'IS (Base-Case)'!U68</f>
        <v>0</v>
      </c>
      <c r="V68" s="189">
        <f>'IS (Bull-Case)'!V68-'IS (Base-Case)'!V68</f>
        <v>0</v>
      </c>
      <c r="W68" s="188">
        <f>'IS (Bull-Case)'!W68-'IS (Base-Case)'!W68</f>
        <v>0</v>
      </c>
      <c r="X68" s="189">
        <f>'IS (Bull-Case)'!X68-'IS (Base-Case)'!X68</f>
        <v>0</v>
      </c>
      <c r="Y68" s="189">
        <f>'IS (Bull-Case)'!Y68-'IS (Base-Case)'!Y68</f>
        <v>0</v>
      </c>
      <c r="Z68" s="189">
        <f>'IS (Bull-Case)'!Z68-'IS (Base-Case)'!Z68</f>
        <v>0</v>
      </c>
      <c r="AA68" s="189">
        <f>'IS (Bull-Case)'!AA68-'IS (Base-Case)'!AA68</f>
        <v>0</v>
      </c>
      <c r="AB68" s="188">
        <f>'IS (Bull-Case)'!AB68-'IS (Base-Case)'!AB68</f>
        <v>-1.0461094650596192E-7</v>
      </c>
      <c r="AC68" s="189">
        <f>'IS (Bull-Case)'!AC68-'IS (Base-Case)'!AC68</f>
        <v>0</v>
      </c>
      <c r="AD68" s="189">
        <f>'IS (Bull-Case)'!AD68-'IS (Base-Case)'!AD68</f>
        <v>0</v>
      </c>
      <c r="AE68" s="189">
        <f>'IS (Bull-Case)'!AE68-'IS (Base-Case)'!AE68</f>
        <v>0</v>
      </c>
      <c r="AF68" s="189">
        <f>'IS (Bull-Case)'!AF68-'IS (Base-Case)'!AF68</f>
        <v>0</v>
      </c>
      <c r="AG68" s="188">
        <f>'IS (Bull-Case)'!AG68-'IS (Base-Case)'!AG68</f>
        <v>-1.3872716854608502E-7</v>
      </c>
      <c r="AH68" s="189">
        <f>'IS (Bull-Case)'!AH68-'IS (Base-Case)'!AH68</f>
        <v>0</v>
      </c>
      <c r="AI68" s="189">
        <f>'IS (Bull-Case)'!AI68-'IS (Base-Case)'!AI68</f>
        <v>0</v>
      </c>
      <c r="AJ68" s="189">
        <f>'IS (Bull-Case)'!AJ68-'IS (Base-Case)'!AJ68</f>
        <v>0</v>
      </c>
      <c r="AK68" s="189">
        <f>'IS (Bull-Case)'!AK68-'IS (Base-Case)'!AK68</f>
        <v>0</v>
      </c>
      <c r="AL68" s="188">
        <f>'IS (Bull-Case)'!AL68-'IS (Base-Case)'!AL68</f>
        <v>-1.3913854898447986E-7</v>
      </c>
      <c r="AM68" s="189">
        <f>'IS (Bull-Case)'!AM68-'IS (Base-Case)'!AM68</f>
        <v>0</v>
      </c>
      <c r="AN68" s="189">
        <f>'IS (Bull-Case)'!AN68-'IS (Base-Case)'!AN68</f>
        <v>0</v>
      </c>
      <c r="AO68" s="189">
        <f>'IS (Bull-Case)'!AO68-'IS (Base-Case)'!AO68</f>
        <v>0</v>
      </c>
      <c r="AP68" s="189">
        <f>'IS (Bull-Case)'!AP68-'IS (Base-Case)'!AP68</f>
        <v>0</v>
      </c>
      <c r="AQ68" s="188">
        <f>'IS (Bull-Case)'!AQ68-'IS (Base-Case)'!AQ68</f>
        <v>-1.3913843871331266E-7</v>
      </c>
      <c r="AR68" s="189">
        <f>'IS (Bull-Case)'!AR68-'IS (Base-Case)'!AR68</f>
        <v>0</v>
      </c>
      <c r="AS68" s="189">
        <f>'IS (Bull-Case)'!AS68-'IS (Base-Case)'!AS68</f>
        <v>0</v>
      </c>
      <c r="AT68" s="189">
        <f>'IS (Bull-Case)'!AT68-'IS (Base-Case)'!AT68</f>
        <v>0</v>
      </c>
      <c r="AU68" s="189">
        <f>'IS (Bull-Case)'!AU68-'IS (Base-Case)'!AU68</f>
        <v>0</v>
      </c>
      <c r="AV68" s="188">
        <f>'IS (Bull-Case)'!AV68-'IS (Base-Case)'!AV68</f>
        <v>-1.3880020384958447E-7</v>
      </c>
    </row>
    <row r="69" spans="2:48" ht="16.2" outlineLevel="1" x14ac:dyDescent="0.45">
      <c r="B69" s="180" t="s">
        <v>42</v>
      </c>
      <c r="C69" s="18"/>
      <c r="D69" s="119">
        <f>'IS (Bull-Case)'!D69-'IS (Base-Case)'!D69</f>
        <v>0</v>
      </c>
      <c r="E69" s="119">
        <f>'IS (Bull-Case)'!E69-'IS (Base-Case)'!E69</f>
        <v>0</v>
      </c>
      <c r="F69" s="119">
        <f>'IS (Bull-Case)'!F69-'IS (Base-Case)'!F69</f>
        <v>0</v>
      </c>
      <c r="G69" s="119">
        <f>'IS (Bull-Case)'!G69-'IS (Base-Case)'!G69</f>
        <v>0</v>
      </c>
      <c r="H69" s="131">
        <f>'IS (Bull-Case)'!H69-'IS (Base-Case)'!H69</f>
        <v>0</v>
      </c>
      <c r="I69" s="119">
        <f>'IS (Bull-Case)'!I69-'IS (Base-Case)'!I69</f>
        <v>0</v>
      </c>
      <c r="J69" s="119">
        <f>'IS (Bull-Case)'!J69-'IS (Base-Case)'!J69</f>
        <v>0</v>
      </c>
      <c r="K69" s="119">
        <f>'IS (Bull-Case)'!K69-'IS (Base-Case)'!K69</f>
        <v>0</v>
      </c>
      <c r="L69" s="119">
        <f>'IS (Bull-Case)'!L69-'IS (Base-Case)'!L69</f>
        <v>0</v>
      </c>
      <c r="M69" s="357">
        <f>'IS (Bull-Case)'!M69-'IS (Base-Case)'!M69</f>
        <v>0</v>
      </c>
      <c r="N69" s="119">
        <f>'IS (Bull-Case)'!N69-'IS (Base-Case)'!N69</f>
        <v>0</v>
      </c>
      <c r="O69" s="119">
        <f>'IS (Bull-Case)'!O69-'IS (Base-Case)'!O69</f>
        <v>0</v>
      </c>
      <c r="P69" s="119">
        <f>'IS (Bull-Case)'!P69-'IS (Base-Case)'!P69</f>
        <v>0</v>
      </c>
      <c r="Q69" s="119">
        <f>'IS (Bull-Case)'!Q69-'IS (Base-Case)'!Q69</f>
        <v>0</v>
      </c>
      <c r="R69" s="173">
        <f>'IS (Bull-Case)'!R69-'IS (Base-Case)'!R69</f>
        <v>0</v>
      </c>
      <c r="S69" s="119">
        <f>'IS (Bull-Case)'!S69-'IS (Base-Case)'!S69</f>
        <v>0</v>
      </c>
      <c r="T69" s="119">
        <f>'IS (Bull-Case)'!T69-'IS (Base-Case)'!T69</f>
        <v>0</v>
      </c>
      <c r="U69" s="119">
        <f>'IS (Bull-Case)'!U69-'IS (Base-Case)'!U69</f>
        <v>0</v>
      </c>
      <c r="V69" s="119">
        <f>'IS (Bull-Case)'!V69-'IS (Base-Case)'!V69</f>
        <v>0</v>
      </c>
      <c r="W69" s="173">
        <f>'IS (Bull-Case)'!W69-'IS (Base-Case)'!W69</f>
        <v>0</v>
      </c>
      <c r="X69" s="119">
        <f>'IS (Bull-Case)'!X69-'IS (Base-Case)'!X69</f>
        <v>0</v>
      </c>
      <c r="Y69" s="119">
        <f>'IS (Bull-Case)'!Y69-'IS (Base-Case)'!Y69</f>
        <v>0</v>
      </c>
      <c r="Z69" s="119">
        <f>'IS (Bull-Case)'!Z69-'IS (Base-Case)'!Z69</f>
        <v>0</v>
      </c>
      <c r="AA69" s="119">
        <f>'IS (Bull-Case)'!AA69-'IS (Base-Case)'!AA69</f>
        <v>0</v>
      </c>
      <c r="AB69" s="173">
        <f>'IS (Bull-Case)'!AB69-'IS (Base-Case)'!AB69</f>
        <v>0</v>
      </c>
      <c r="AC69" s="119">
        <f>'IS (Bull-Case)'!AC69-'IS (Base-Case)'!AC69</f>
        <v>0</v>
      </c>
      <c r="AD69" s="119">
        <f>'IS (Bull-Case)'!AD69-'IS (Base-Case)'!AD69</f>
        <v>0</v>
      </c>
      <c r="AE69" s="119">
        <f>'IS (Bull-Case)'!AE69-'IS (Base-Case)'!AE69</f>
        <v>0</v>
      </c>
      <c r="AF69" s="119">
        <f>'IS (Bull-Case)'!AF69-'IS (Base-Case)'!AF69</f>
        <v>0</v>
      </c>
      <c r="AG69" s="173">
        <f>'IS (Bull-Case)'!AG69-'IS (Base-Case)'!AG69</f>
        <v>0</v>
      </c>
      <c r="AH69" s="119">
        <f>'IS (Bull-Case)'!AH69-'IS (Base-Case)'!AH69</f>
        <v>0</v>
      </c>
      <c r="AI69" s="119">
        <f>'IS (Bull-Case)'!AI69-'IS (Base-Case)'!AI69</f>
        <v>0</v>
      </c>
      <c r="AJ69" s="119">
        <f>'IS (Bull-Case)'!AJ69-'IS (Base-Case)'!AJ69</f>
        <v>0</v>
      </c>
      <c r="AK69" s="119">
        <f>'IS (Bull-Case)'!AK69-'IS (Base-Case)'!AK69</f>
        <v>0</v>
      </c>
      <c r="AL69" s="173">
        <f>'IS (Bull-Case)'!AL69-'IS (Base-Case)'!AL69</f>
        <v>0</v>
      </c>
      <c r="AM69" s="119">
        <f>'IS (Bull-Case)'!AM69-'IS (Base-Case)'!AM69</f>
        <v>0</v>
      </c>
      <c r="AN69" s="119">
        <f>'IS (Bull-Case)'!AN69-'IS (Base-Case)'!AN69</f>
        <v>0</v>
      </c>
      <c r="AO69" s="119">
        <f>'IS (Bull-Case)'!AO69-'IS (Base-Case)'!AO69</f>
        <v>0</v>
      </c>
      <c r="AP69" s="119">
        <f>'IS (Bull-Case)'!AP69-'IS (Base-Case)'!AP69</f>
        <v>0</v>
      </c>
      <c r="AQ69" s="173">
        <f>'IS (Bull-Case)'!AQ69-'IS (Base-Case)'!AQ69</f>
        <v>0</v>
      </c>
      <c r="AR69" s="119">
        <f>'IS (Bull-Case)'!AR69-'IS (Base-Case)'!AR69</f>
        <v>0</v>
      </c>
      <c r="AS69" s="119">
        <f>'IS (Bull-Case)'!AS69-'IS (Base-Case)'!AS69</f>
        <v>0</v>
      </c>
      <c r="AT69" s="119">
        <f>'IS (Bull-Case)'!AT69-'IS (Base-Case)'!AT69</f>
        <v>0</v>
      </c>
      <c r="AU69" s="119">
        <f>'IS (Bull-Case)'!AU69-'IS (Base-Case)'!AU69</f>
        <v>0</v>
      </c>
      <c r="AV69" s="173">
        <f>'IS (Bull-Case)'!AV69-'IS (Base-Case)'!AV69</f>
        <v>0</v>
      </c>
    </row>
    <row r="70" spans="2:48" outlineLevel="1" x14ac:dyDescent="0.3">
      <c r="B70" s="46" t="s">
        <v>183</v>
      </c>
      <c r="C70" s="19"/>
      <c r="D70" s="103">
        <f>'IS (Bull-Case)'!D70-'IS (Base-Case)'!D70</f>
        <v>0</v>
      </c>
      <c r="E70" s="103">
        <f>'IS (Bull-Case)'!E70-'IS (Base-Case)'!E70</f>
        <v>0</v>
      </c>
      <c r="F70" s="103">
        <f>'IS (Bull-Case)'!F70-'IS (Base-Case)'!F70</f>
        <v>0</v>
      </c>
      <c r="G70" s="103">
        <f>'IS (Bull-Case)'!G70-'IS (Base-Case)'!G70</f>
        <v>0</v>
      </c>
      <c r="H70" s="166">
        <f>'IS (Bull-Case)'!H70-'IS (Base-Case)'!H70</f>
        <v>0</v>
      </c>
      <c r="I70" s="103">
        <f>'IS (Bull-Case)'!I70-'IS (Base-Case)'!I70</f>
        <v>0</v>
      </c>
      <c r="J70" s="103">
        <f>'IS (Bull-Case)'!J70-'IS (Base-Case)'!J70</f>
        <v>0</v>
      </c>
      <c r="K70" s="103">
        <f>'IS (Bull-Case)'!K70-'IS (Base-Case)'!K70</f>
        <v>0</v>
      </c>
      <c r="L70" s="50">
        <f>'IS (Bull-Case)'!L70-'IS (Base-Case)'!L70</f>
        <v>0</v>
      </c>
      <c r="M70" s="191">
        <f>'IS (Bull-Case)'!M70-'IS (Base-Case)'!M70</f>
        <v>0</v>
      </c>
      <c r="N70" s="50">
        <f>'IS (Bull-Case)'!N70-'IS (Base-Case)'!N70</f>
        <v>0</v>
      </c>
      <c r="O70" s="50">
        <f>'IS (Bull-Case)'!O70-'IS (Base-Case)'!O70</f>
        <v>0</v>
      </c>
      <c r="P70" s="50">
        <f>'IS (Bull-Case)'!P70-'IS (Base-Case)'!P70</f>
        <v>0</v>
      </c>
      <c r="Q70" s="103">
        <f>'IS (Bull-Case)'!Q70-'IS (Base-Case)'!Q70</f>
        <v>0</v>
      </c>
      <c r="R70" s="191">
        <f>'IS (Bull-Case)'!R70-'IS (Base-Case)'!R70</f>
        <v>0</v>
      </c>
      <c r="S70" s="50">
        <f>'IS (Bull-Case)'!S70-'IS (Base-Case)'!S70</f>
        <v>0</v>
      </c>
      <c r="T70" s="50">
        <f>'IS (Bull-Case)'!T70-'IS (Base-Case)'!T70</f>
        <v>0</v>
      </c>
      <c r="U70" s="50">
        <f>'IS (Bull-Case)'!U70-'IS (Base-Case)'!U70</f>
        <v>0</v>
      </c>
      <c r="V70" s="50">
        <f>'IS (Bull-Case)'!V70-'IS (Base-Case)'!V70</f>
        <v>0</v>
      </c>
      <c r="W70" s="191">
        <f>'IS (Bull-Case)'!W70-'IS (Base-Case)'!W70</f>
        <v>0</v>
      </c>
      <c r="X70" s="50">
        <f>'IS (Bull-Case)'!X70-'IS (Base-Case)'!X70</f>
        <v>70.085398845775671</v>
      </c>
      <c r="Y70" s="50">
        <f>'IS (Bull-Case)'!Y70-'IS (Base-Case)'!Y70</f>
        <v>67.214004809819016</v>
      </c>
      <c r="Z70" s="50">
        <f>'IS (Bull-Case)'!Z70-'IS (Base-Case)'!Z70</f>
        <v>71.045391894440399</v>
      </c>
      <c r="AA70" s="50">
        <f>'IS (Bull-Case)'!AA70-'IS (Base-Case)'!AA70</f>
        <v>69.599458384343052</v>
      </c>
      <c r="AB70" s="191">
        <f>'IS (Bull-Case)'!AB70-'IS (Base-Case)'!AB70</f>
        <v>277.9442539343836</v>
      </c>
      <c r="AC70" s="50">
        <f>'IS (Bull-Case)'!AC70-'IS (Base-Case)'!AC70</f>
        <v>135.7919619182212</v>
      </c>
      <c r="AD70" s="50">
        <f>'IS (Bull-Case)'!AD70-'IS (Base-Case)'!AD70</f>
        <v>134.60142223509865</v>
      </c>
      <c r="AE70" s="50">
        <f>'IS (Bull-Case)'!AE70-'IS (Base-Case)'!AE70</f>
        <v>139.83677950704987</v>
      </c>
      <c r="AF70" s="50">
        <f>'IS (Bull-Case)'!AF70-'IS (Base-Case)'!AF70</f>
        <v>141.30855875337966</v>
      </c>
      <c r="AG70" s="191">
        <f>'IS (Bull-Case)'!AG70-'IS (Base-Case)'!AG70</f>
        <v>551.53872241375211</v>
      </c>
      <c r="AH70" s="50">
        <f>'IS (Bull-Case)'!AH70-'IS (Base-Case)'!AH70</f>
        <v>216.57820451595217</v>
      </c>
      <c r="AI70" s="50">
        <f>'IS (Bull-Case)'!AI70-'IS (Base-Case)'!AI70</f>
        <v>215.27417149816301</v>
      </c>
      <c r="AJ70" s="50">
        <f>'IS (Bull-Case)'!AJ70-'IS (Base-Case)'!AJ70</f>
        <v>222.60876852035744</v>
      </c>
      <c r="AK70" s="50">
        <f>'IS (Bull-Case)'!AK70-'IS (Base-Case)'!AK70</f>
        <v>225.43028708956354</v>
      </c>
      <c r="AL70" s="191">
        <f>'IS (Bull-Case)'!AL70-'IS (Base-Case)'!AL70</f>
        <v>879.89143162403343</v>
      </c>
      <c r="AM70" s="50">
        <f>'IS (Bull-Case)'!AM70-'IS (Base-Case)'!AM70</f>
        <v>234.91524604863207</v>
      </c>
      <c r="AN70" s="50">
        <f>'IS (Bull-Case)'!AN70-'IS (Base-Case)'!AN70</f>
        <v>233.5641050272443</v>
      </c>
      <c r="AO70" s="50">
        <f>'IS (Bull-Case)'!AO70-'IS (Base-Case)'!AO70</f>
        <v>241.58700200651128</v>
      </c>
      <c r="AP70" s="50">
        <f>'IS (Bull-Case)'!AP70-'IS (Base-Case)'!AP70</f>
        <v>244.72413423184298</v>
      </c>
      <c r="AQ70" s="191">
        <f>'IS (Bull-Case)'!AQ70-'IS (Base-Case)'!AQ70</f>
        <v>954.79048731423609</v>
      </c>
      <c r="AR70" s="50">
        <f>'IS (Bull-Case)'!AR70-'IS (Base-Case)'!AR70</f>
        <v>250.16077955846504</v>
      </c>
      <c r="AS70" s="50">
        <f>'IS (Bull-Case)'!AS70-'IS (Base-Case)'!AS70</f>
        <v>248.64582966837042</v>
      </c>
      <c r="AT70" s="50">
        <f>'IS (Bull-Case)'!AT70-'IS (Base-Case)'!AT70</f>
        <v>257.12030797965053</v>
      </c>
      <c r="AU70" s="50">
        <f>'IS (Bull-Case)'!AU70-'IS (Base-Case)'!AU70</f>
        <v>260.40041486649079</v>
      </c>
      <c r="AV70" s="191">
        <f>'IS (Bull-Case)'!AV70-'IS (Base-Case)'!AV70</f>
        <v>1016.327332072975</v>
      </c>
    </row>
    <row r="71" spans="2:48" outlineLevel="1" x14ac:dyDescent="0.3">
      <c r="B71" s="46" t="s">
        <v>184</v>
      </c>
      <c r="C71" s="44"/>
      <c r="D71" s="156">
        <f>'IS (Bull-Case)'!D71-'IS (Base-Case)'!D71</f>
        <v>0</v>
      </c>
      <c r="E71" s="156">
        <f>'IS (Bull-Case)'!E71-'IS (Base-Case)'!E71</f>
        <v>0</v>
      </c>
      <c r="F71" s="156">
        <f>'IS (Bull-Case)'!F71-'IS (Base-Case)'!F71</f>
        <v>0</v>
      </c>
      <c r="G71" s="156">
        <f>'IS (Bull-Case)'!G71-'IS (Base-Case)'!G71</f>
        <v>0</v>
      </c>
      <c r="H71" s="132">
        <f>'IS (Bull-Case)'!H71-'IS (Base-Case)'!H71</f>
        <v>0</v>
      </c>
      <c r="I71" s="156">
        <f>'IS (Bull-Case)'!I71-'IS (Base-Case)'!I71</f>
        <v>0</v>
      </c>
      <c r="J71" s="156">
        <f>'IS (Bull-Case)'!J71-'IS (Base-Case)'!J71</f>
        <v>0</v>
      </c>
      <c r="K71" s="156">
        <f>'IS (Bull-Case)'!K71-'IS (Base-Case)'!K71</f>
        <v>0</v>
      </c>
      <c r="L71" s="74">
        <f>'IS (Bull-Case)'!L71-'IS (Base-Case)'!L71</f>
        <v>0</v>
      </c>
      <c r="M71" s="97">
        <f>'IS (Bull-Case)'!M71-'IS (Base-Case)'!M71</f>
        <v>0</v>
      </c>
      <c r="N71" s="74">
        <f>'IS (Bull-Case)'!N71-'IS (Base-Case)'!N71</f>
        <v>0</v>
      </c>
      <c r="O71" s="74">
        <f>'IS (Bull-Case)'!O71-'IS (Base-Case)'!O71</f>
        <v>0</v>
      </c>
      <c r="P71" s="74">
        <f>'IS (Bull-Case)'!P71-'IS (Base-Case)'!P71</f>
        <v>0</v>
      </c>
      <c r="Q71" s="74">
        <f>'IS (Bull-Case)'!Q71-'IS (Base-Case)'!Q71</f>
        <v>0</v>
      </c>
      <c r="R71" s="97">
        <f>'IS (Bull-Case)'!R71-'IS (Base-Case)'!R71</f>
        <v>0</v>
      </c>
      <c r="S71" s="74">
        <f>'IS (Bull-Case)'!S71-'IS (Base-Case)'!S71</f>
        <v>0</v>
      </c>
      <c r="T71" s="74">
        <f>'IS (Bull-Case)'!T71-'IS (Base-Case)'!T71</f>
        <v>0</v>
      </c>
      <c r="U71" s="74">
        <f>'IS (Bull-Case)'!U71-'IS (Base-Case)'!U71</f>
        <v>0</v>
      </c>
      <c r="V71" s="156">
        <f>'IS (Bull-Case)'!V71-'IS (Base-Case)'!V71</f>
        <v>0</v>
      </c>
      <c r="W71" s="97">
        <f>'IS (Bull-Case)'!W71-'IS (Base-Case)'!W71</f>
        <v>0</v>
      </c>
      <c r="X71" s="74">
        <f>'IS (Bull-Case)'!X71-'IS (Base-Case)'!X71</f>
        <v>18.300520821894679</v>
      </c>
      <c r="Y71" s="74">
        <f>'IS (Bull-Case)'!Y71-'IS (Base-Case)'!Y71</f>
        <v>16.909320687910622</v>
      </c>
      <c r="Z71" s="74">
        <f>'IS (Bull-Case)'!Z71-'IS (Base-Case)'!Z71</f>
        <v>22.504496042673054</v>
      </c>
      <c r="AA71" s="74">
        <f>'IS (Bull-Case)'!AA71-'IS (Base-Case)'!AA71</f>
        <v>21.966112276260901</v>
      </c>
      <c r="AB71" s="97">
        <f>'IS (Bull-Case)'!AB71-'IS (Base-Case)'!AB71</f>
        <v>79.680449828739256</v>
      </c>
      <c r="AC71" s="74">
        <f>'IS (Bull-Case)'!AC71-'IS (Base-Case)'!AC71</f>
        <v>58.006390857553924</v>
      </c>
      <c r="AD71" s="74">
        <f>'IS (Bull-Case)'!AD71-'IS (Base-Case)'!AD71</f>
        <v>50.056926539425149</v>
      </c>
      <c r="AE71" s="74">
        <f>'IS (Bull-Case)'!AE71-'IS (Base-Case)'!AE71</f>
        <v>63.525788499158807</v>
      </c>
      <c r="AF71" s="74">
        <f>'IS (Bull-Case)'!AF71-'IS (Base-Case)'!AF71</f>
        <v>57.942377177588241</v>
      </c>
      <c r="AG71" s="97">
        <f>'IS (Bull-Case)'!AG71-'IS (Base-Case)'!AG71</f>
        <v>229.53148307372612</v>
      </c>
      <c r="AH71" s="74">
        <f>'IS (Bull-Case)'!AH71-'IS (Base-Case)'!AH71</f>
        <v>105.19857485738157</v>
      </c>
      <c r="AI71" s="74">
        <f>'IS (Bull-Case)'!AI71-'IS (Base-Case)'!AI71</f>
        <v>91.701630049521555</v>
      </c>
      <c r="AJ71" s="74">
        <f>'IS (Bull-Case)'!AJ71-'IS (Base-Case)'!AJ71</f>
        <v>114.6175753218813</v>
      </c>
      <c r="AK71" s="74">
        <f>'IS (Bull-Case)'!AK71-'IS (Base-Case)'!AK71</f>
        <v>105.29391222769027</v>
      </c>
      <c r="AL71" s="97">
        <f>'IS (Bull-Case)'!AL71-'IS (Base-Case)'!AL71</f>
        <v>416.8116924564747</v>
      </c>
      <c r="AM71" s="74">
        <f>'IS (Bull-Case)'!AM71-'IS (Base-Case)'!AM71</f>
        <v>114.37145426759434</v>
      </c>
      <c r="AN71" s="74">
        <f>'IS (Bull-Case)'!AN71-'IS (Base-Case)'!AN71</f>
        <v>99.572898144541796</v>
      </c>
      <c r="AO71" s="74">
        <f>'IS (Bull-Case)'!AO71-'IS (Base-Case)'!AO71</f>
        <v>124.28203870302696</v>
      </c>
      <c r="AP71" s="74">
        <f>'IS (Bull-Case)'!AP71-'IS (Base-Case)'!AP71</f>
        <v>114.02201779740972</v>
      </c>
      <c r="AQ71" s="97">
        <f>'IS (Bull-Case)'!AQ71-'IS (Base-Case)'!AQ71</f>
        <v>452.24840891257281</v>
      </c>
      <c r="AR71" s="74">
        <f>'IS (Bull-Case)'!AR71-'IS (Base-Case)'!AR71</f>
        <v>121.38380861454334</v>
      </c>
      <c r="AS71" s="74">
        <f>'IS (Bull-Case)'!AS71-'IS (Base-Case)'!AS71</f>
        <v>105.60356685963779</v>
      </c>
      <c r="AT71" s="74">
        <f>'IS (Bull-Case)'!AT71-'IS (Base-Case)'!AT71</f>
        <v>131.87095806812795</v>
      </c>
      <c r="AU71" s="74">
        <f>'IS (Bull-Case)'!AU71-'IS (Base-Case)'!AU71</f>
        <v>120.94808329668467</v>
      </c>
      <c r="AV71" s="97">
        <f>'IS (Bull-Case)'!AV71-'IS (Base-Case)'!AV71</f>
        <v>479.80641683899375</v>
      </c>
    </row>
    <row r="72" spans="2:48" outlineLevel="1" x14ac:dyDescent="0.3">
      <c r="B72" s="46" t="s">
        <v>185</v>
      </c>
      <c r="C72" s="44"/>
      <c r="D72" s="157">
        <f>'IS (Bull-Case)'!D72-'IS (Base-Case)'!D72</f>
        <v>0</v>
      </c>
      <c r="E72" s="157">
        <f>'IS (Bull-Case)'!E72-'IS (Base-Case)'!E72</f>
        <v>0</v>
      </c>
      <c r="F72" s="157">
        <f>'IS (Bull-Case)'!F72-'IS (Base-Case)'!F72</f>
        <v>0</v>
      </c>
      <c r="G72" s="157">
        <f>'IS (Bull-Case)'!G72-'IS (Base-Case)'!G72</f>
        <v>0</v>
      </c>
      <c r="H72" s="133">
        <f>'IS (Bull-Case)'!H72-'IS (Base-Case)'!H72</f>
        <v>0</v>
      </c>
      <c r="I72" s="157">
        <f>'IS (Bull-Case)'!I72-'IS (Base-Case)'!I72</f>
        <v>0</v>
      </c>
      <c r="J72" s="157">
        <f>'IS (Bull-Case)'!J72-'IS (Base-Case)'!J72</f>
        <v>0</v>
      </c>
      <c r="K72" s="157">
        <f>'IS (Bull-Case)'!K72-'IS (Base-Case)'!K72</f>
        <v>0</v>
      </c>
      <c r="L72" s="75">
        <f>'IS (Bull-Case)'!L72-'IS (Base-Case)'!L72</f>
        <v>0</v>
      </c>
      <c r="M72" s="98">
        <f>'IS (Bull-Case)'!M72-'IS (Base-Case)'!M72</f>
        <v>0</v>
      </c>
      <c r="N72" s="75">
        <f>'IS (Bull-Case)'!N72-'IS (Base-Case)'!N72</f>
        <v>0</v>
      </c>
      <c r="O72" s="75">
        <f>'IS (Bull-Case)'!O72-'IS (Base-Case)'!O72</f>
        <v>0</v>
      </c>
      <c r="P72" s="75">
        <f>'IS (Bull-Case)'!P72-'IS (Base-Case)'!P72</f>
        <v>0</v>
      </c>
      <c r="Q72" s="75">
        <f>'IS (Bull-Case)'!Q72-'IS (Base-Case)'!Q72</f>
        <v>0</v>
      </c>
      <c r="R72" s="98">
        <f>'IS (Bull-Case)'!R72-'IS (Base-Case)'!R72</f>
        <v>0</v>
      </c>
      <c r="S72" s="75">
        <f>'IS (Bull-Case)'!S72-'IS (Base-Case)'!S72</f>
        <v>0</v>
      </c>
      <c r="T72" s="75">
        <f>'IS (Bull-Case)'!T72-'IS (Base-Case)'!T72</f>
        <v>0</v>
      </c>
      <c r="U72" s="75">
        <f>'IS (Bull-Case)'!U72-'IS (Base-Case)'!U72</f>
        <v>0</v>
      </c>
      <c r="V72" s="75">
        <f>'IS (Bull-Case)'!V72-'IS (Base-Case)'!V72</f>
        <v>0</v>
      </c>
      <c r="W72" s="98">
        <f>'IS (Bull-Case)'!W72-'IS (Base-Case)'!W72</f>
        <v>0</v>
      </c>
      <c r="X72" s="75">
        <f>'IS (Bull-Case)'!X72-'IS (Base-Case)'!X72</f>
        <v>5.3661927658377184E-4</v>
      </c>
      <c r="Y72" s="75">
        <f>'IS (Bull-Case)'!Y72-'IS (Base-Case)'!Y72</f>
        <v>4.8548711871654326E-4</v>
      </c>
      <c r="Z72" s="75">
        <f>'IS (Bull-Case)'!Z72-'IS (Base-Case)'!Z72</f>
        <v>4.8829164985206286E-4</v>
      </c>
      <c r="AA72" s="75">
        <f>'IS (Bull-Case)'!AA72-'IS (Base-Case)'!AA72</f>
        <v>5.1834050611448967E-4</v>
      </c>
      <c r="AB72" s="98">
        <f>'IS (Bull-Case)'!AB72-'IS (Base-Case)'!AB72</f>
        <v>5.1011071844958567E-4</v>
      </c>
      <c r="AC72" s="75">
        <f>'IS (Bull-Case)'!AC72-'IS (Base-Case)'!AC72</f>
        <v>2.890158534346543E-3</v>
      </c>
      <c r="AD72" s="75">
        <f>'IS (Bull-Case)'!AD72-'IS (Base-Case)'!AD72</f>
        <v>2.9643993731129914E-3</v>
      </c>
      <c r="AE72" s="75">
        <f>'IS (Bull-Case)'!AE72-'IS (Base-Case)'!AE72</f>
        <v>2.9298625135513179E-3</v>
      </c>
      <c r="AF72" s="75">
        <f>'IS (Bull-Case)'!AF72-'IS (Base-Case)'!AF72</f>
        <v>2.9817840878687274E-3</v>
      </c>
      <c r="AG72" s="98">
        <f>'IS (Bull-Case)'!AG72-'IS (Base-Case)'!AG72</f>
        <v>2.9425658735662275E-3</v>
      </c>
      <c r="AH72" s="75">
        <f>'IS (Bull-Case)'!AH72-'IS (Base-Case)'!AH72</f>
        <v>5.2911607100723512E-3</v>
      </c>
      <c r="AI72" s="75">
        <f>'IS (Bull-Case)'!AI72-'IS (Base-Case)'!AI72</f>
        <v>5.3847401219747071E-3</v>
      </c>
      <c r="AJ72" s="75">
        <f>'IS (Bull-Case)'!AJ72-'IS (Base-Case)'!AJ72</f>
        <v>5.3098567377062034E-3</v>
      </c>
      <c r="AK72" s="75">
        <f>'IS (Bull-Case)'!AK72-'IS (Base-Case)'!AK72</f>
        <v>5.3748700775470559E-3</v>
      </c>
      <c r="AL72" s="98">
        <f>'IS (Bull-Case)'!AL72-'IS (Base-Case)'!AL72</f>
        <v>5.3407887828279821E-3</v>
      </c>
      <c r="AM72" s="75">
        <f>'IS (Bull-Case)'!AM72-'IS (Base-Case)'!AM72</f>
        <v>5.277952177698636E-3</v>
      </c>
      <c r="AN72" s="75">
        <f>'IS (Bull-Case)'!AN72-'IS (Base-Case)'!AN72</f>
        <v>5.3767823393333081E-3</v>
      </c>
      <c r="AO72" s="75">
        <f>'IS (Bull-Case)'!AO72-'IS (Base-Case)'!AO72</f>
        <v>5.306538219803314E-3</v>
      </c>
      <c r="AP72" s="75">
        <f>'IS (Bull-Case)'!AP72-'IS (Base-Case)'!AP72</f>
        <v>5.3746334066480106E-3</v>
      </c>
      <c r="AQ72" s="98">
        <f>'IS (Bull-Case)'!AQ72-'IS (Base-Case)'!AQ72</f>
        <v>5.3346122936028806E-3</v>
      </c>
      <c r="AR72" s="75">
        <f>'IS (Bull-Case)'!AR72-'IS (Base-Case)'!AR72</f>
        <v>5.3089982169968186E-3</v>
      </c>
      <c r="AS72" s="75">
        <f>'IS (Bull-Case)'!AS72-'IS (Base-Case)'!AS72</f>
        <v>5.4083267726254824E-3</v>
      </c>
      <c r="AT72" s="75">
        <f>'IS (Bull-Case)'!AT72-'IS (Base-Case)'!AT72</f>
        <v>5.3342536877351854E-3</v>
      </c>
      <c r="AU72" s="75">
        <f>'IS (Bull-Case)'!AU72-'IS (Base-Case)'!AU72</f>
        <v>5.4016488742494595E-3</v>
      </c>
      <c r="AV72" s="98">
        <f>'IS (Bull-Case)'!AV72-'IS (Base-Case)'!AV72</f>
        <v>5.3638936196596931E-3</v>
      </c>
    </row>
    <row r="73" spans="2:48" ht="17.399999999999999" x14ac:dyDescent="0.45">
      <c r="B73" s="455" t="s">
        <v>114</v>
      </c>
      <c r="C73" s="456"/>
      <c r="D73" s="14" t="s">
        <v>19</v>
      </c>
      <c r="E73" s="14" t="s">
        <v>81</v>
      </c>
      <c r="F73" s="14" t="s">
        <v>85</v>
      </c>
      <c r="G73" s="14" t="s">
        <v>95</v>
      </c>
      <c r="H73" s="40" t="s">
        <v>96</v>
      </c>
      <c r="I73" s="14" t="s">
        <v>97</v>
      </c>
      <c r="J73" s="14" t="s">
        <v>98</v>
      </c>
      <c r="K73" s="14" t="s">
        <v>99</v>
      </c>
      <c r="L73" s="14" t="s">
        <v>142</v>
      </c>
      <c r="M73" s="40" t="s">
        <v>143</v>
      </c>
      <c r="N73" s="14" t="s">
        <v>149</v>
      </c>
      <c r="O73" s="14" t="s">
        <v>157</v>
      </c>
      <c r="P73" s="14" t="s">
        <v>159</v>
      </c>
      <c r="Q73" s="14" t="s">
        <v>172</v>
      </c>
      <c r="R73" s="40" t="s">
        <v>173</v>
      </c>
      <c r="S73" s="14" t="s">
        <v>188</v>
      </c>
      <c r="T73" s="14" t="s">
        <v>189</v>
      </c>
      <c r="U73" s="14" t="s">
        <v>204</v>
      </c>
      <c r="V73" s="12" t="s">
        <v>25</v>
      </c>
      <c r="W73" s="42" t="s">
        <v>26</v>
      </c>
      <c r="X73" s="12" t="s">
        <v>27</v>
      </c>
      <c r="Y73" s="12" t="s">
        <v>28</v>
      </c>
      <c r="Z73" s="12" t="s">
        <v>29</v>
      </c>
      <c r="AA73" s="12" t="s">
        <v>30</v>
      </c>
      <c r="AB73" s="42" t="s">
        <v>31</v>
      </c>
      <c r="AC73" s="12" t="s">
        <v>90</v>
      </c>
      <c r="AD73" s="12" t="s">
        <v>91</v>
      </c>
      <c r="AE73" s="12" t="s">
        <v>92</v>
      </c>
      <c r="AF73" s="12" t="s">
        <v>93</v>
      </c>
      <c r="AG73" s="42" t="s">
        <v>94</v>
      </c>
      <c r="AH73" s="12" t="s">
        <v>109</v>
      </c>
      <c r="AI73" s="12" t="s">
        <v>110</v>
      </c>
      <c r="AJ73" s="12" t="s">
        <v>111</v>
      </c>
      <c r="AK73" s="12" t="s">
        <v>112</v>
      </c>
      <c r="AL73" s="42" t="s">
        <v>113</v>
      </c>
      <c r="AM73" s="12" t="s">
        <v>164</v>
      </c>
      <c r="AN73" s="12" t="s">
        <v>165</v>
      </c>
      <c r="AO73" s="12" t="s">
        <v>166</v>
      </c>
      <c r="AP73" s="12" t="s">
        <v>167</v>
      </c>
      <c r="AQ73" s="42" t="s">
        <v>168</v>
      </c>
      <c r="AR73" s="12" t="s">
        <v>195</v>
      </c>
      <c r="AS73" s="12" t="s">
        <v>196</v>
      </c>
      <c r="AT73" s="12" t="s">
        <v>197</v>
      </c>
      <c r="AU73" s="12" t="s">
        <v>198</v>
      </c>
      <c r="AV73" s="42" t="s">
        <v>199</v>
      </c>
    </row>
    <row r="74" spans="2:48" s="8" customFormat="1" outlineLevel="1" x14ac:dyDescent="0.3">
      <c r="B74" s="457" t="s">
        <v>115</v>
      </c>
      <c r="C74" s="458"/>
      <c r="D74" s="21">
        <f>'IS (Bull-Case)'!D74-'IS (Base-Case)'!D74</f>
        <v>0</v>
      </c>
      <c r="E74" s="21">
        <f>'IS (Bull-Case)'!E74-'IS (Base-Case)'!E74</f>
        <v>0</v>
      </c>
      <c r="F74" s="116">
        <f>'IS (Bull-Case)'!F74-'IS (Base-Case)'!F74</f>
        <v>0</v>
      </c>
      <c r="G74" s="21">
        <f>'IS (Bull-Case)'!G74-'IS (Base-Case)'!G74</f>
        <v>0</v>
      </c>
      <c r="H74" s="191">
        <f>'IS (Bull-Case)'!H74-'IS (Base-Case)'!H74</f>
        <v>0</v>
      </c>
      <c r="I74" s="21">
        <f>'IS (Bull-Case)'!I74-'IS (Base-Case)'!I74</f>
        <v>0</v>
      </c>
      <c r="J74" s="21">
        <f>'IS (Bull-Case)'!J74-'IS (Base-Case)'!J74</f>
        <v>0</v>
      </c>
      <c r="K74" s="21">
        <f>'IS (Bull-Case)'!K74-'IS (Base-Case)'!K74</f>
        <v>0</v>
      </c>
      <c r="L74" s="21">
        <f>'IS (Bull-Case)'!L74-'IS (Base-Case)'!L74</f>
        <v>0</v>
      </c>
      <c r="M74" s="191">
        <f>'IS (Bull-Case)'!M74-'IS (Base-Case)'!M74</f>
        <v>0</v>
      </c>
      <c r="N74" s="21">
        <f>'IS (Bull-Case)'!N74-'IS (Base-Case)'!N74</f>
        <v>0</v>
      </c>
      <c r="O74" s="21">
        <f>'IS (Bull-Case)'!O74-'IS (Base-Case)'!O74</f>
        <v>0</v>
      </c>
      <c r="P74" s="21">
        <f>'IS (Bull-Case)'!P74-'IS (Base-Case)'!P74</f>
        <v>0</v>
      </c>
      <c r="Q74" s="21">
        <f>'IS (Bull-Case)'!Q74-'IS (Base-Case)'!Q74</f>
        <v>0</v>
      </c>
      <c r="R74" s="191">
        <f>'IS (Bull-Case)'!R74-'IS (Base-Case)'!R74</f>
        <v>0</v>
      </c>
      <c r="S74" s="21">
        <f>'IS (Bull-Case)'!S74-'IS (Base-Case)'!S74</f>
        <v>0</v>
      </c>
      <c r="T74" s="21">
        <f>'IS (Bull-Case)'!T74-'IS (Base-Case)'!T74</f>
        <v>0</v>
      </c>
      <c r="U74" s="21">
        <f>'IS (Bull-Case)'!U74-'IS (Base-Case)'!U74</f>
        <v>0</v>
      </c>
      <c r="V74" s="21">
        <f>'IS (Bull-Case)'!V74-'IS (Base-Case)'!V74</f>
        <v>0</v>
      </c>
      <c r="W74" s="191">
        <f>'IS (Bull-Case)'!W74-'IS (Base-Case)'!W74</f>
        <v>0</v>
      </c>
      <c r="X74" s="21">
        <f>'IS (Bull-Case)'!X74-'IS (Base-Case)'!X74</f>
        <v>0</v>
      </c>
      <c r="Y74" s="21">
        <f>'IS (Bull-Case)'!Y74-'IS (Base-Case)'!Y74</f>
        <v>0</v>
      </c>
      <c r="Z74" s="21">
        <f>'IS (Bull-Case)'!Z74-'IS (Base-Case)'!Z74</f>
        <v>0</v>
      </c>
      <c r="AA74" s="21">
        <f>'IS (Bull-Case)'!AA74-'IS (Base-Case)'!AA74</f>
        <v>0</v>
      </c>
      <c r="AB74" s="191">
        <f>'IS (Bull-Case)'!AB74-'IS (Base-Case)'!AB74</f>
        <v>0</v>
      </c>
      <c r="AC74" s="21">
        <f>'IS (Bull-Case)'!AC74-'IS (Base-Case)'!AC74</f>
        <v>0</v>
      </c>
      <c r="AD74" s="21">
        <f>'IS (Bull-Case)'!AD74-'IS (Base-Case)'!AD74</f>
        <v>0</v>
      </c>
      <c r="AE74" s="21">
        <f>'IS (Bull-Case)'!AE74-'IS (Base-Case)'!AE74</f>
        <v>0</v>
      </c>
      <c r="AF74" s="21">
        <f>'IS (Bull-Case)'!AF74-'IS (Base-Case)'!AF74</f>
        <v>0</v>
      </c>
      <c r="AG74" s="191">
        <f>'IS (Bull-Case)'!AG74-'IS (Base-Case)'!AG74</f>
        <v>0</v>
      </c>
      <c r="AH74" s="21">
        <f>'IS (Bull-Case)'!AH74-'IS (Base-Case)'!AH74</f>
        <v>0</v>
      </c>
      <c r="AI74" s="21">
        <f>'IS (Bull-Case)'!AI74-'IS (Base-Case)'!AI74</f>
        <v>0</v>
      </c>
      <c r="AJ74" s="21">
        <f>'IS (Bull-Case)'!AJ74-'IS (Base-Case)'!AJ74</f>
        <v>0</v>
      </c>
      <c r="AK74" s="21">
        <f>'IS (Bull-Case)'!AK74-'IS (Base-Case)'!AK74</f>
        <v>0</v>
      </c>
      <c r="AL74" s="191">
        <f>'IS (Bull-Case)'!AL74-'IS (Base-Case)'!AL74</f>
        <v>0</v>
      </c>
      <c r="AM74" s="21">
        <f>'IS (Bull-Case)'!AM74-'IS (Base-Case)'!AM74</f>
        <v>0</v>
      </c>
      <c r="AN74" s="21">
        <f>'IS (Bull-Case)'!AN74-'IS (Base-Case)'!AN74</f>
        <v>0</v>
      </c>
      <c r="AO74" s="21">
        <f>'IS (Bull-Case)'!AO74-'IS (Base-Case)'!AO74</f>
        <v>0</v>
      </c>
      <c r="AP74" s="21">
        <f>'IS (Bull-Case)'!AP74-'IS (Base-Case)'!AP74</f>
        <v>0</v>
      </c>
      <c r="AQ74" s="191">
        <f>'IS (Bull-Case)'!AQ74-'IS (Base-Case)'!AQ74</f>
        <v>0</v>
      </c>
      <c r="AR74" s="21">
        <f>'IS (Bull-Case)'!AR74-'IS (Base-Case)'!AR74</f>
        <v>0</v>
      </c>
      <c r="AS74" s="21">
        <f>'IS (Bull-Case)'!AS74-'IS (Base-Case)'!AS74</f>
        <v>0</v>
      </c>
      <c r="AT74" s="21">
        <f>'IS (Bull-Case)'!AT74-'IS (Base-Case)'!AT74</f>
        <v>0</v>
      </c>
      <c r="AU74" s="21">
        <f>'IS (Bull-Case)'!AU74-'IS (Base-Case)'!AU74</f>
        <v>0</v>
      </c>
      <c r="AV74" s="191">
        <f>'IS (Bull-Case)'!AV74-'IS (Base-Case)'!AV74</f>
        <v>0</v>
      </c>
    </row>
    <row r="75" spans="2:48" outlineLevel="1" x14ac:dyDescent="0.3">
      <c r="B75" s="180" t="s">
        <v>46</v>
      </c>
      <c r="C75" s="201"/>
      <c r="D75" s="101">
        <f>'IS (Bull-Case)'!D75-'IS (Base-Case)'!D75</f>
        <v>0</v>
      </c>
      <c r="E75" s="101">
        <f>'IS (Bull-Case)'!E75-'IS (Base-Case)'!E75</f>
        <v>0</v>
      </c>
      <c r="F75" s="101">
        <f>'IS (Bull-Case)'!F75-'IS (Base-Case)'!F75</f>
        <v>0</v>
      </c>
      <c r="G75" s="101">
        <f>'IS (Bull-Case)'!G75-'IS (Base-Case)'!G75</f>
        <v>0</v>
      </c>
      <c r="H75" s="26">
        <f>'IS (Bull-Case)'!H75-'IS (Base-Case)'!H75</f>
        <v>0</v>
      </c>
      <c r="I75" s="101">
        <f>'IS (Bull-Case)'!I75-'IS (Base-Case)'!I75</f>
        <v>0</v>
      </c>
      <c r="J75" s="101">
        <f>'IS (Bull-Case)'!J75-'IS (Base-Case)'!J75</f>
        <v>0</v>
      </c>
      <c r="K75" s="101">
        <f>'IS (Bull-Case)'!K75-'IS (Base-Case)'!K75</f>
        <v>0</v>
      </c>
      <c r="L75" s="101">
        <f>'IS (Bull-Case)'!L75-'IS (Base-Case)'!L75</f>
        <v>0</v>
      </c>
      <c r="M75" s="26">
        <f>'IS (Bull-Case)'!M75-'IS (Base-Case)'!M75</f>
        <v>0</v>
      </c>
      <c r="N75" s="101">
        <f>'IS (Bull-Case)'!N75-'IS (Base-Case)'!N75</f>
        <v>0</v>
      </c>
      <c r="O75" s="101">
        <f>'IS (Bull-Case)'!O75-'IS (Base-Case)'!O75</f>
        <v>0</v>
      </c>
      <c r="P75" s="101">
        <f>'IS (Bull-Case)'!P75-'IS (Base-Case)'!P75</f>
        <v>0</v>
      </c>
      <c r="Q75" s="101">
        <f>'IS (Bull-Case)'!Q75-'IS (Base-Case)'!Q75</f>
        <v>0</v>
      </c>
      <c r="R75" s="26">
        <f>'IS (Bull-Case)'!R75-'IS (Base-Case)'!R75</f>
        <v>0</v>
      </c>
      <c r="S75" s="101">
        <f>'IS (Bull-Case)'!S75-'IS (Base-Case)'!S75</f>
        <v>0</v>
      </c>
      <c r="T75" s="101">
        <f>'IS (Bull-Case)'!T75-'IS (Base-Case)'!T75</f>
        <v>0</v>
      </c>
      <c r="U75" s="101">
        <f>'IS (Bull-Case)'!U75-'IS (Base-Case)'!U75</f>
        <v>0</v>
      </c>
      <c r="V75" s="33">
        <f>'IS (Bull-Case)'!V75-'IS (Base-Case)'!V75</f>
        <v>0</v>
      </c>
      <c r="W75" s="122">
        <f>'IS (Bull-Case)'!W75-'IS (Base-Case)'!W75</f>
        <v>0</v>
      </c>
      <c r="X75" s="33">
        <f>'IS (Bull-Case)'!X75-'IS (Base-Case)'!X75</f>
        <v>0</v>
      </c>
      <c r="Y75" s="33">
        <f>'IS (Bull-Case)'!Y75-'IS (Base-Case)'!Y75</f>
        <v>0</v>
      </c>
      <c r="Z75" s="33">
        <f>'IS (Bull-Case)'!Z75-'IS (Base-Case)'!Z75</f>
        <v>0</v>
      </c>
      <c r="AA75" s="33">
        <f>'IS (Bull-Case)'!AA75-'IS (Base-Case)'!AA75</f>
        <v>0</v>
      </c>
      <c r="AB75" s="26">
        <f>'IS (Bull-Case)'!AB75-'IS (Base-Case)'!AB75</f>
        <v>0</v>
      </c>
      <c r="AC75" s="33">
        <f>'IS (Bull-Case)'!AC75-'IS (Base-Case)'!AC75</f>
        <v>0</v>
      </c>
      <c r="AD75" s="33">
        <f>'IS (Bull-Case)'!AD75-'IS (Base-Case)'!AD75</f>
        <v>0</v>
      </c>
      <c r="AE75" s="33">
        <f>'IS (Bull-Case)'!AE75-'IS (Base-Case)'!AE75</f>
        <v>0</v>
      </c>
      <c r="AF75" s="33">
        <f>'IS (Bull-Case)'!AF75-'IS (Base-Case)'!AF75</f>
        <v>0</v>
      </c>
      <c r="AG75" s="26">
        <f>'IS (Bull-Case)'!AG75-'IS (Base-Case)'!AG75</f>
        <v>0</v>
      </c>
      <c r="AH75" s="95">
        <f>'IS (Bull-Case)'!AH75-'IS (Base-Case)'!AH75</f>
        <v>0</v>
      </c>
      <c r="AI75" s="33">
        <f>'IS (Bull-Case)'!AI75-'IS (Base-Case)'!AI75</f>
        <v>0</v>
      </c>
      <c r="AJ75" s="33">
        <f>'IS (Bull-Case)'!AJ75-'IS (Base-Case)'!AJ75</f>
        <v>0</v>
      </c>
      <c r="AK75" s="33">
        <f>'IS (Bull-Case)'!AK75-'IS (Base-Case)'!AK75</f>
        <v>0</v>
      </c>
      <c r="AL75" s="26">
        <f>'IS (Bull-Case)'!AL75-'IS (Base-Case)'!AL75</f>
        <v>0</v>
      </c>
      <c r="AM75" s="33">
        <f>'IS (Bull-Case)'!AM75-'IS (Base-Case)'!AM75</f>
        <v>0</v>
      </c>
      <c r="AN75" s="33">
        <f>'IS (Bull-Case)'!AN75-'IS (Base-Case)'!AN75</f>
        <v>0</v>
      </c>
      <c r="AO75" s="33">
        <f>'IS (Bull-Case)'!AO75-'IS (Base-Case)'!AO75</f>
        <v>0</v>
      </c>
      <c r="AP75" s="33">
        <f>'IS (Bull-Case)'!AP75-'IS (Base-Case)'!AP75</f>
        <v>0</v>
      </c>
      <c r="AQ75" s="26">
        <f>'IS (Bull-Case)'!AQ75-'IS (Base-Case)'!AQ75</f>
        <v>0</v>
      </c>
      <c r="AR75" s="33">
        <f>'IS (Bull-Case)'!AR75-'IS (Base-Case)'!AR75</f>
        <v>0</v>
      </c>
      <c r="AS75" s="33">
        <f>'IS (Bull-Case)'!AS75-'IS (Base-Case)'!AS75</f>
        <v>0</v>
      </c>
      <c r="AT75" s="33">
        <f>'IS (Bull-Case)'!AT75-'IS (Base-Case)'!AT75</f>
        <v>0</v>
      </c>
      <c r="AU75" s="33">
        <f>'IS (Bull-Case)'!AU75-'IS (Base-Case)'!AU75</f>
        <v>0</v>
      </c>
      <c r="AV75" s="26">
        <f>'IS (Bull-Case)'!AV75-'IS (Base-Case)'!AV75</f>
        <v>0</v>
      </c>
    </row>
    <row r="76" spans="2:48" outlineLevel="1" x14ac:dyDescent="0.3">
      <c r="B76" s="180" t="s">
        <v>201</v>
      </c>
      <c r="C76" s="201"/>
      <c r="D76" s="101">
        <f>'IS (Bull-Case)'!D76-'IS (Base-Case)'!D76</f>
        <v>0</v>
      </c>
      <c r="E76" s="101">
        <f>'IS (Bull-Case)'!E76-'IS (Base-Case)'!E76</f>
        <v>0</v>
      </c>
      <c r="F76" s="101">
        <f>'IS (Bull-Case)'!F76-'IS (Base-Case)'!F76</f>
        <v>0</v>
      </c>
      <c r="G76" s="101">
        <f>'IS (Bull-Case)'!G76-'IS (Base-Case)'!G76</f>
        <v>0</v>
      </c>
      <c r="H76" s="26">
        <f>'IS (Bull-Case)'!H76-'IS (Base-Case)'!H76</f>
        <v>0</v>
      </c>
      <c r="I76" s="101">
        <f>'IS (Bull-Case)'!I76-'IS (Base-Case)'!I76</f>
        <v>0</v>
      </c>
      <c r="J76" s="101">
        <f>'IS (Bull-Case)'!J76-'IS (Base-Case)'!J76</f>
        <v>0</v>
      </c>
      <c r="K76" s="101">
        <f>'IS (Bull-Case)'!K76-'IS (Base-Case)'!K76</f>
        <v>0</v>
      </c>
      <c r="L76" s="101">
        <f>'IS (Bull-Case)'!L76-'IS (Base-Case)'!L76</f>
        <v>0</v>
      </c>
      <c r="M76" s="26">
        <f>'IS (Bull-Case)'!M76-'IS (Base-Case)'!M76</f>
        <v>0</v>
      </c>
      <c r="N76" s="101">
        <f>'IS (Bull-Case)'!N76-'IS (Base-Case)'!N76</f>
        <v>0</v>
      </c>
      <c r="O76" s="101">
        <f>'IS (Bull-Case)'!O76-'IS (Base-Case)'!O76</f>
        <v>0</v>
      </c>
      <c r="P76" s="101">
        <f>'IS (Bull-Case)'!P76-'IS (Base-Case)'!P76</f>
        <v>0</v>
      </c>
      <c r="Q76" s="101">
        <f>'IS (Bull-Case)'!Q76-'IS (Base-Case)'!Q76</f>
        <v>0</v>
      </c>
      <c r="R76" s="26">
        <f>'IS (Bull-Case)'!R76-'IS (Base-Case)'!R76</f>
        <v>0</v>
      </c>
      <c r="S76" s="101">
        <f>'IS (Bull-Case)'!S76-'IS (Base-Case)'!S76</f>
        <v>0</v>
      </c>
      <c r="T76" s="101">
        <f>'IS (Bull-Case)'!T76-'IS (Base-Case)'!T76</f>
        <v>0</v>
      </c>
      <c r="U76" s="101">
        <f>'IS (Bull-Case)'!U76-'IS (Base-Case)'!U76</f>
        <v>0</v>
      </c>
      <c r="V76" s="101">
        <f>'IS (Bull-Case)'!V76-'IS (Base-Case)'!V76</f>
        <v>0</v>
      </c>
      <c r="W76" s="122">
        <f>'IS (Bull-Case)'!W76-'IS (Base-Case)'!W76</f>
        <v>0</v>
      </c>
      <c r="X76" s="101">
        <f>'IS (Bull-Case)'!X76-'IS (Base-Case)'!X76</f>
        <v>0</v>
      </c>
      <c r="Y76" s="101">
        <f>'IS (Bull-Case)'!Y76-'IS (Base-Case)'!Y76</f>
        <v>0</v>
      </c>
      <c r="Z76" s="101">
        <f>'IS (Bull-Case)'!Z76-'IS (Base-Case)'!Z76</f>
        <v>0</v>
      </c>
      <c r="AA76" s="101">
        <f>'IS (Bull-Case)'!AA76-'IS (Base-Case)'!AA76</f>
        <v>0</v>
      </c>
      <c r="AB76" s="26">
        <f>'IS (Bull-Case)'!AB76-'IS (Base-Case)'!AB76</f>
        <v>0</v>
      </c>
      <c r="AC76" s="101">
        <f>'IS (Bull-Case)'!AC76-'IS (Base-Case)'!AC76</f>
        <v>0</v>
      </c>
      <c r="AD76" s="101">
        <f>'IS (Bull-Case)'!AD76-'IS (Base-Case)'!AD76</f>
        <v>0</v>
      </c>
      <c r="AE76" s="101">
        <f>'IS (Bull-Case)'!AE76-'IS (Base-Case)'!AE76</f>
        <v>0</v>
      </c>
      <c r="AF76" s="101">
        <f>'IS (Bull-Case)'!AF76-'IS (Base-Case)'!AF76</f>
        <v>0</v>
      </c>
      <c r="AG76" s="26">
        <f>'IS (Bull-Case)'!AG76-'IS (Base-Case)'!AG76</f>
        <v>0</v>
      </c>
      <c r="AH76" s="101">
        <f>'IS (Bull-Case)'!AH76-'IS (Base-Case)'!AH76</f>
        <v>0</v>
      </c>
      <c r="AI76" s="101">
        <f>'IS (Bull-Case)'!AI76-'IS (Base-Case)'!AI76</f>
        <v>0</v>
      </c>
      <c r="AJ76" s="101">
        <f>'IS (Bull-Case)'!AJ76-'IS (Base-Case)'!AJ76</f>
        <v>0</v>
      </c>
      <c r="AK76" s="101">
        <f>'IS (Bull-Case)'!AK76-'IS (Base-Case)'!AK76</f>
        <v>0</v>
      </c>
      <c r="AL76" s="26">
        <f>'IS (Bull-Case)'!AL76-'IS (Base-Case)'!AL76</f>
        <v>0</v>
      </c>
      <c r="AM76" s="101">
        <f>'IS (Bull-Case)'!AM76-'IS (Base-Case)'!AM76</f>
        <v>0</v>
      </c>
      <c r="AN76" s="101">
        <f>'IS (Bull-Case)'!AN76-'IS (Base-Case)'!AN76</f>
        <v>0</v>
      </c>
      <c r="AO76" s="101">
        <f>'IS (Bull-Case)'!AO76-'IS (Base-Case)'!AO76</f>
        <v>0</v>
      </c>
      <c r="AP76" s="101">
        <f>'IS (Bull-Case)'!AP76-'IS (Base-Case)'!AP76</f>
        <v>0</v>
      </c>
      <c r="AQ76" s="26">
        <f>'IS (Bull-Case)'!AQ76-'IS (Base-Case)'!AQ76</f>
        <v>0</v>
      </c>
      <c r="AR76" s="101">
        <f>'IS (Bull-Case)'!AR76-'IS (Base-Case)'!AR76</f>
        <v>0</v>
      </c>
      <c r="AS76" s="101">
        <f>'IS (Bull-Case)'!AS76-'IS (Base-Case)'!AS76</f>
        <v>0</v>
      </c>
      <c r="AT76" s="101">
        <f>'IS (Bull-Case)'!AT76-'IS (Base-Case)'!AT76</f>
        <v>0</v>
      </c>
      <c r="AU76" s="101">
        <f>'IS (Bull-Case)'!AU76-'IS (Base-Case)'!AU76</f>
        <v>0</v>
      </c>
      <c r="AV76" s="26">
        <f>'IS (Bull-Case)'!AV76-'IS (Base-Case)'!AV76</f>
        <v>0</v>
      </c>
    </row>
    <row r="77" spans="2:48" s="20" customFormat="1" outlineLevel="1" x14ac:dyDescent="0.3">
      <c r="B77" s="180" t="s">
        <v>206</v>
      </c>
      <c r="C77" s="206"/>
      <c r="D77" s="43">
        <f>'IS (Bull-Case)'!D77-'IS (Base-Case)'!D77</f>
        <v>0</v>
      </c>
      <c r="E77" s="43">
        <f>'IS (Bull-Case)'!E77-'IS (Base-Case)'!E77</f>
        <v>0</v>
      </c>
      <c r="F77" s="114">
        <f>'IS (Bull-Case)'!F77-'IS (Base-Case)'!F77</f>
        <v>0</v>
      </c>
      <c r="G77" s="43">
        <f>'IS (Bull-Case)'!G77-'IS (Base-Case)'!G77</f>
        <v>0</v>
      </c>
      <c r="H77" s="97">
        <f>'IS (Bull-Case)'!H77-'IS (Base-Case)'!H77</f>
        <v>0</v>
      </c>
      <c r="I77" s="43">
        <f>'IS (Bull-Case)'!I77-'IS (Base-Case)'!I77</f>
        <v>0</v>
      </c>
      <c r="J77" s="43">
        <f>'IS (Bull-Case)'!J77-'IS (Base-Case)'!J77</f>
        <v>0</v>
      </c>
      <c r="K77" s="43">
        <f>'IS (Bull-Case)'!K77-'IS (Base-Case)'!K77</f>
        <v>0</v>
      </c>
      <c r="L77" s="43">
        <f>'IS (Bull-Case)'!L77-'IS (Base-Case)'!L77</f>
        <v>0</v>
      </c>
      <c r="M77" s="97">
        <f>'IS (Bull-Case)'!M77-'IS (Base-Case)'!M77</f>
        <v>0</v>
      </c>
      <c r="N77" s="43">
        <f>'IS (Bull-Case)'!N77-'IS (Base-Case)'!N77</f>
        <v>0</v>
      </c>
      <c r="O77" s="43">
        <f>'IS (Bull-Case)'!O77-'IS (Base-Case)'!O77</f>
        <v>0</v>
      </c>
      <c r="P77" s="43">
        <f>'IS (Bull-Case)'!P77-'IS (Base-Case)'!P77</f>
        <v>0</v>
      </c>
      <c r="Q77" s="43">
        <f>'IS (Bull-Case)'!Q77-'IS (Base-Case)'!Q77</f>
        <v>0</v>
      </c>
      <c r="R77" s="97">
        <f>'IS (Bull-Case)'!R77-'IS (Base-Case)'!R77</f>
        <v>0</v>
      </c>
      <c r="S77" s="43">
        <f>'IS (Bull-Case)'!S77-'IS (Base-Case)'!S77</f>
        <v>0</v>
      </c>
      <c r="T77" s="43">
        <f>'IS (Bull-Case)'!T77-'IS (Base-Case)'!T77</f>
        <v>0</v>
      </c>
      <c r="U77" s="43">
        <f>'IS (Bull-Case)'!U77-'IS (Base-Case)'!U77</f>
        <v>0</v>
      </c>
      <c r="V77" s="62">
        <f>'IS (Bull-Case)'!V77-'IS (Base-Case)'!V77</f>
        <v>0</v>
      </c>
      <c r="W77" s="132">
        <f>'IS (Bull-Case)'!W77-'IS (Base-Case)'!W77</f>
        <v>0</v>
      </c>
      <c r="X77" s="62">
        <f>'IS (Bull-Case)'!X77-'IS (Base-Case)'!X77</f>
        <v>0</v>
      </c>
      <c r="Y77" s="62">
        <f>'IS (Bull-Case)'!Y77-'IS (Base-Case)'!Y77</f>
        <v>0</v>
      </c>
      <c r="Z77" s="62">
        <f>'IS (Bull-Case)'!Z77-'IS (Base-Case)'!Z77</f>
        <v>0</v>
      </c>
      <c r="AA77" s="62">
        <f>'IS (Bull-Case)'!AA77-'IS (Base-Case)'!AA77</f>
        <v>0</v>
      </c>
      <c r="AB77" s="97">
        <f>'IS (Bull-Case)'!AB77-'IS (Base-Case)'!AB77</f>
        <v>0</v>
      </c>
      <c r="AC77" s="62">
        <f>'IS (Bull-Case)'!AC77-'IS (Base-Case)'!AC77</f>
        <v>0</v>
      </c>
      <c r="AD77" s="62">
        <f>'IS (Bull-Case)'!AD77-'IS (Base-Case)'!AD77</f>
        <v>0</v>
      </c>
      <c r="AE77" s="62">
        <f>'IS (Bull-Case)'!AE77-'IS (Base-Case)'!AE77</f>
        <v>0</v>
      </c>
      <c r="AF77" s="62">
        <f>'IS (Bull-Case)'!AF77-'IS (Base-Case)'!AF77</f>
        <v>0</v>
      </c>
      <c r="AG77" s="97">
        <f>'IS (Bull-Case)'!AG77-'IS (Base-Case)'!AG77</f>
        <v>0</v>
      </c>
      <c r="AH77" s="62">
        <f>'IS (Bull-Case)'!AH77-'IS (Base-Case)'!AH77</f>
        <v>0</v>
      </c>
      <c r="AI77" s="62">
        <f>'IS (Bull-Case)'!AI77-'IS (Base-Case)'!AI77</f>
        <v>0</v>
      </c>
      <c r="AJ77" s="62">
        <f>'IS (Bull-Case)'!AJ77-'IS (Base-Case)'!AJ77</f>
        <v>0</v>
      </c>
      <c r="AK77" s="62">
        <f>'IS (Bull-Case)'!AK77-'IS (Base-Case)'!AK77</f>
        <v>0</v>
      </c>
      <c r="AL77" s="97">
        <f>'IS (Bull-Case)'!AL77-'IS (Base-Case)'!AL77</f>
        <v>0</v>
      </c>
      <c r="AM77" s="62">
        <f>'IS (Bull-Case)'!AM77-'IS (Base-Case)'!AM77</f>
        <v>0</v>
      </c>
      <c r="AN77" s="62">
        <f>'IS (Bull-Case)'!AN77-'IS (Base-Case)'!AN77</f>
        <v>0</v>
      </c>
      <c r="AO77" s="62">
        <f>'IS (Bull-Case)'!AO77-'IS (Base-Case)'!AO77</f>
        <v>0</v>
      </c>
      <c r="AP77" s="62">
        <f>'IS (Bull-Case)'!AP77-'IS (Base-Case)'!AP77</f>
        <v>0</v>
      </c>
      <c r="AQ77" s="97">
        <f>'IS (Bull-Case)'!AQ77-'IS (Base-Case)'!AQ77</f>
        <v>0</v>
      </c>
      <c r="AR77" s="62">
        <f>'IS (Bull-Case)'!AR77-'IS (Base-Case)'!AR77</f>
        <v>0</v>
      </c>
      <c r="AS77" s="62">
        <f>'IS (Bull-Case)'!AS77-'IS (Base-Case)'!AS77</f>
        <v>0</v>
      </c>
      <c r="AT77" s="62">
        <f>'IS (Bull-Case)'!AT77-'IS (Base-Case)'!AT77</f>
        <v>0</v>
      </c>
      <c r="AU77" s="62">
        <f>'IS (Bull-Case)'!AU77-'IS (Base-Case)'!AU77</f>
        <v>0</v>
      </c>
      <c r="AV77" s="97">
        <f>'IS (Bull-Case)'!AV77-'IS (Base-Case)'!AV77</f>
        <v>0</v>
      </c>
    </row>
    <row r="78" spans="2:48" s="8" customFormat="1" outlineLevel="1" x14ac:dyDescent="0.3">
      <c r="B78" s="445" t="s">
        <v>116</v>
      </c>
      <c r="C78" s="446"/>
      <c r="D78" s="50">
        <f>'IS (Bull-Case)'!D78-'IS (Base-Case)'!D78</f>
        <v>0</v>
      </c>
      <c r="E78" s="50">
        <f>'IS (Bull-Case)'!E78-'IS (Base-Case)'!E78</f>
        <v>0</v>
      </c>
      <c r="F78" s="103">
        <f>'IS (Bull-Case)'!F78-'IS (Base-Case)'!F78</f>
        <v>0</v>
      </c>
      <c r="G78" s="50">
        <f>'IS (Bull-Case)'!G78-'IS (Base-Case)'!G78</f>
        <v>0</v>
      </c>
      <c r="H78" s="97">
        <f>'IS (Bull-Case)'!H78-'IS (Base-Case)'!H78</f>
        <v>0</v>
      </c>
      <c r="I78" s="50">
        <f>'IS (Bull-Case)'!I78-'IS (Base-Case)'!I78</f>
        <v>0</v>
      </c>
      <c r="J78" s="50">
        <f>'IS (Bull-Case)'!J78-'IS (Base-Case)'!J78</f>
        <v>0</v>
      </c>
      <c r="K78" s="103">
        <f>'IS (Bull-Case)'!K78-'IS (Base-Case)'!K78</f>
        <v>0</v>
      </c>
      <c r="L78" s="50">
        <f>'IS (Bull-Case)'!L78-'IS (Base-Case)'!L78</f>
        <v>0</v>
      </c>
      <c r="M78" s="97">
        <f>'IS (Bull-Case)'!M78-'IS (Base-Case)'!M78</f>
        <v>0</v>
      </c>
      <c r="N78" s="50">
        <f>'IS (Bull-Case)'!N78-'IS (Base-Case)'!N78</f>
        <v>0</v>
      </c>
      <c r="O78" s="50">
        <f>'IS (Bull-Case)'!O78-'IS (Base-Case)'!O78</f>
        <v>0</v>
      </c>
      <c r="P78" s="50">
        <f>'IS (Bull-Case)'!P78-'IS (Base-Case)'!P78</f>
        <v>0</v>
      </c>
      <c r="Q78" s="103">
        <f>'IS (Bull-Case)'!Q78-'IS (Base-Case)'!Q78</f>
        <v>0</v>
      </c>
      <c r="R78" s="97">
        <f>'IS (Bull-Case)'!R78-'IS (Base-Case)'!R78</f>
        <v>0</v>
      </c>
      <c r="S78" s="50">
        <f>'IS (Bull-Case)'!S78-'IS (Base-Case)'!S78</f>
        <v>0</v>
      </c>
      <c r="T78" s="50">
        <f>'IS (Bull-Case)'!T78-'IS (Base-Case)'!T78</f>
        <v>0</v>
      </c>
      <c r="U78" s="50">
        <f>'IS (Bull-Case)'!U78-'IS (Base-Case)'!U78</f>
        <v>0</v>
      </c>
      <c r="V78" s="50">
        <f>'IS (Bull-Case)'!V78-'IS (Base-Case)'!V78</f>
        <v>0</v>
      </c>
      <c r="W78" s="132">
        <f>'IS (Bull-Case)'!W78-'IS (Base-Case)'!W78</f>
        <v>0</v>
      </c>
      <c r="X78" s="50">
        <f>'IS (Bull-Case)'!X78-'IS (Base-Case)'!X78</f>
        <v>0</v>
      </c>
      <c r="Y78" s="50">
        <f>'IS (Bull-Case)'!Y78-'IS (Base-Case)'!Y78</f>
        <v>0</v>
      </c>
      <c r="Z78" s="50">
        <f>'IS (Bull-Case)'!Z78-'IS (Base-Case)'!Z78</f>
        <v>0</v>
      </c>
      <c r="AA78" s="50">
        <f>'IS (Bull-Case)'!AA78-'IS (Base-Case)'!AA78</f>
        <v>0</v>
      </c>
      <c r="AB78" s="97">
        <f>'IS (Bull-Case)'!AB78-'IS (Base-Case)'!AB78</f>
        <v>0</v>
      </c>
      <c r="AC78" s="50">
        <f>'IS (Bull-Case)'!AC78-'IS (Base-Case)'!AC78</f>
        <v>0</v>
      </c>
      <c r="AD78" s="50">
        <f>'IS (Bull-Case)'!AD78-'IS (Base-Case)'!AD78</f>
        <v>0</v>
      </c>
      <c r="AE78" s="50">
        <f>'IS (Bull-Case)'!AE78-'IS (Base-Case)'!AE78</f>
        <v>0</v>
      </c>
      <c r="AF78" s="50">
        <f>'IS (Bull-Case)'!AF78-'IS (Base-Case)'!AF78</f>
        <v>0</v>
      </c>
      <c r="AG78" s="97">
        <f>'IS (Bull-Case)'!AG78-'IS (Base-Case)'!AG78</f>
        <v>0</v>
      </c>
      <c r="AH78" s="50">
        <f>'IS (Bull-Case)'!AH78-'IS (Base-Case)'!AH78</f>
        <v>0</v>
      </c>
      <c r="AI78" s="50">
        <f>'IS (Bull-Case)'!AI78-'IS (Base-Case)'!AI78</f>
        <v>0</v>
      </c>
      <c r="AJ78" s="50">
        <f>'IS (Bull-Case)'!AJ78-'IS (Base-Case)'!AJ78</f>
        <v>0</v>
      </c>
      <c r="AK78" s="50">
        <f>'IS (Bull-Case)'!AK78-'IS (Base-Case)'!AK78</f>
        <v>0</v>
      </c>
      <c r="AL78" s="97">
        <f>'IS (Bull-Case)'!AL78-'IS (Base-Case)'!AL78</f>
        <v>0</v>
      </c>
      <c r="AM78" s="50">
        <f>'IS (Bull-Case)'!AM78-'IS (Base-Case)'!AM78</f>
        <v>0</v>
      </c>
      <c r="AN78" s="50">
        <f>'IS (Bull-Case)'!AN78-'IS (Base-Case)'!AN78</f>
        <v>0</v>
      </c>
      <c r="AO78" s="50">
        <f>'IS (Bull-Case)'!AO78-'IS (Base-Case)'!AO78</f>
        <v>0</v>
      </c>
      <c r="AP78" s="50">
        <f>'IS (Bull-Case)'!AP78-'IS (Base-Case)'!AP78</f>
        <v>0</v>
      </c>
      <c r="AQ78" s="97">
        <f>'IS (Bull-Case)'!AQ78-'IS (Base-Case)'!AQ78</f>
        <v>0</v>
      </c>
      <c r="AR78" s="50">
        <f>'IS (Bull-Case)'!AR78-'IS (Base-Case)'!AR78</f>
        <v>0</v>
      </c>
      <c r="AS78" s="50">
        <f>'IS (Bull-Case)'!AS78-'IS (Base-Case)'!AS78</f>
        <v>0</v>
      </c>
      <c r="AT78" s="50">
        <f>'IS (Bull-Case)'!AT78-'IS (Base-Case)'!AT78</f>
        <v>0</v>
      </c>
      <c r="AU78" s="50">
        <f>'IS (Bull-Case)'!AU78-'IS (Base-Case)'!AU78</f>
        <v>0</v>
      </c>
      <c r="AV78" s="97">
        <f>'IS (Bull-Case)'!AV78-'IS (Base-Case)'!AV78</f>
        <v>0</v>
      </c>
    </row>
    <row r="79" spans="2:48" s="8" customFormat="1" outlineLevel="1" x14ac:dyDescent="0.3">
      <c r="B79" s="38" t="s">
        <v>200</v>
      </c>
      <c r="C79" s="206"/>
      <c r="D79" s="43">
        <f>'IS (Bull-Case)'!D79-'IS (Base-Case)'!D79</f>
        <v>0</v>
      </c>
      <c r="E79" s="43">
        <f>'IS (Bull-Case)'!E79-'IS (Base-Case)'!E79</f>
        <v>0</v>
      </c>
      <c r="F79" s="43">
        <f>'IS (Bull-Case)'!F79-'IS (Base-Case)'!F79</f>
        <v>0</v>
      </c>
      <c r="G79" s="43">
        <f>'IS (Bull-Case)'!G79-'IS (Base-Case)'!G79</f>
        <v>0</v>
      </c>
      <c r="H79" s="97">
        <f>'IS (Bull-Case)'!H79-'IS (Base-Case)'!H79</f>
        <v>0</v>
      </c>
      <c r="I79" s="27">
        <f>'IS (Bull-Case)'!I79-'IS (Base-Case)'!I79</f>
        <v>0</v>
      </c>
      <c r="J79" s="27">
        <f>'IS (Bull-Case)'!J79-'IS (Base-Case)'!J79</f>
        <v>0</v>
      </c>
      <c r="K79" s="27">
        <f>'IS (Bull-Case)'!K79-'IS (Base-Case)'!K79</f>
        <v>0</v>
      </c>
      <c r="L79" s="27">
        <f>'IS (Bull-Case)'!L79-'IS (Base-Case)'!L79</f>
        <v>0</v>
      </c>
      <c r="M79" s="97">
        <f>'IS (Bull-Case)'!M79-'IS (Base-Case)'!M79</f>
        <v>0</v>
      </c>
      <c r="N79" s="27">
        <f>'IS (Bull-Case)'!N79-'IS (Base-Case)'!N79</f>
        <v>0</v>
      </c>
      <c r="O79" s="27">
        <f>'IS (Bull-Case)'!O79-'IS (Base-Case)'!O79</f>
        <v>0</v>
      </c>
      <c r="P79" s="27">
        <f>'IS (Bull-Case)'!P79-'IS (Base-Case)'!P79</f>
        <v>0</v>
      </c>
      <c r="Q79" s="27">
        <f>'IS (Bull-Case)'!Q79-'IS (Base-Case)'!Q79</f>
        <v>0</v>
      </c>
      <c r="R79" s="97">
        <f>'IS (Bull-Case)'!R79-'IS (Base-Case)'!R79</f>
        <v>0</v>
      </c>
      <c r="S79" s="27">
        <f>'IS (Bull-Case)'!S79-'IS (Base-Case)'!S79</f>
        <v>0</v>
      </c>
      <c r="T79" s="27">
        <f>'IS (Bull-Case)'!T79-'IS (Base-Case)'!T79</f>
        <v>0</v>
      </c>
      <c r="U79" s="27">
        <f>'IS (Bull-Case)'!U79-'IS (Base-Case)'!U79</f>
        <v>0</v>
      </c>
      <c r="V79" s="27">
        <f>'IS (Bull-Case)'!V79-'IS (Base-Case)'!V79</f>
        <v>0</v>
      </c>
      <c r="W79" s="375">
        <f>'IS (Bull-Case)'!W79-'IS (Base-Case)'!W79</f>
        <v>0</v>
      </c>
      <c r="X79" s="27">
        <f>'IS (Bull-Case)'!X79-'IS (Base-Case)'!X79</f>
        <v>0</v>
      </c>
      <c r="Y79" s="27">
        <f>'IS (Bull-Case)'!Y79-'IS (Base-Case)'!Y79</f>
        <v>0</v>
      </c>
      <c r="Z79" s="27">
        <f>'IS (Bull-Case)'!Z79-'IS (Base-Case)'!Z79</f>
        <v>0</v>
      </c>
      <c r="AA79" s="27">
        <f>'IS (Bull-Case)'!AA79-'IS (Base-Case)'!AA79</f>
        <v>0</v>
      </c>
      <c r="AB79" s="375">
        <f>'IS (Bull-Case)'!AB79-'IS (Base-Case)'!AB79</f>
        <v>0</v>
      </c>
      <c r="AC79" s="27">
        <f>'IS (Bull-Case)'!AC79-'IS (Base-Case)'!AC79</f>
        <v>0</v>
      </c>
      <c r="AD79" s="27">
        <f>'IS (Bull-Case)'!AD79-'IS (Base-Case)'!AD79</f>
        <v>0</v>
      </c>
      <c r="AE79" s="27">
        <f>'IS (Bull-Case)'!AE79-'IS (Base-Case)'!AE79</f>
        <v>0</v>
      </c>
      <c r="AF79" s="27">
        <f>'IS (Bull-Case)'!AF79-'IS (Base-Case)'!AF79</f>
        <v>0</v>
      </c>
      <c r="AG79" s="375">
        <f>'IS (Bull-Case)'!AG79-'IS (Base-Case)'!AG79</f>
        <v>0</v>
      </c>
      <c r="AH79" s="27">
        <f>'IS (Bull-Case)'!AH79-'IS (Base-Case)'!AH79</f>
        <v>0</v>
      </c>
      <c r="AI79" s="27">
        <f>'IS (Bull-Case)'!AI79-'IS (Base-Case)'!AI79</f>
        <v>0</v>
      </c>
      <c r="AJ79" s="27">
        <f>'IS (Bull-Case)'!AJ79-'IS (Base-Case)'!AJ79</f>
        <v>0</v>
      </c>
      <c r="AK79" s="27">
        <f>'IS (Bull-Case)'!AK79-'IS (Base-Case)'!AK79</f>
        <v>0</v>
      </c>
      <c r="AL79" s="375">
        <f>'IS (Bull-Case)'!AL79-'IS (Base-Case)'!AL79</f>
        <v>0</v>
      </c>
      <c r="AM79" s="27">
        <f>'IS (Bull-Case)'!AM79-'IS (Base-Case)'!AM79</f>
        <v>0</v>
      </c>
      <c r="AN79" s="27">
        <f>'IS (Bull-Case)'!AN79-'IS (Base-Case)'!AN79</f>
        <v>0</v>
      </c>
      <c r="AO79" s="27">
        <f>'IS (Bull-Case)'!AO79-'IS (Base-Case)'!AO79</f>
        <v>0</v>
      </c>
      <c r="AP79" s="27">
        <f>'IS (Bull-Case)'!AP79-'IS (Base-Case)'!AP79</f>
        <v>0</v>
      </c>
      <c r="AQ79" s="97">
        <f>'IS (Bull-Case)'!AQ79-'IS (Base-Case)'!AQ79</f>
        <v>0</v>
      </c>
      <c r="AR79" s="27">
        <f>'IS (Bull-Case)'!AR79-'IS (Base-Case)'!AR79</f>
        <v>0</v>
      </c>
      <c r="AS79" s="27">
        <f>'IS (Bull-Case)'!AS79-'IS (Base-Case)'!AS79</f>
        <v>0</v>
      </c>
      <c r="AT79" s="27">
        <f>'IS (Bull-Case)'!AT79-'IS (Base-Case)'!AT79</f>
        <v>0</v>
      </c>
      <c r="AU79" s="27">
        <f>'IS (Bull-Case)'!AU79-'IS (Base-Case)'!AU79</f>
        <v>0</v>
      </c>
      <c r="AV79" s="97">
        <f>'IS (Bull-Case)'!AV79-'IS (Base-Case)'!AV79</f>
        <v>0</v>
      </c>
    </row>
    <row r="80" spans="2:48" outlineLevel="1" x14ac:dyDescent="0.3">
      <c r="B80" s="236" t="s">
        <v>44</v>
      </c>
      <c r="C80" s="221"/>
      <c r="D80" s="222">
        <f>'IS (Bull-Case)'!D80-'IS (Base-Case)'!D80</f>
        <v>0</v>
      </c>
      <c r="E80" s="222">
        <f>'IS (Bull-Case)'!E80-'IS (Base-Case)'!E80</f>
        <v>0</v>
      </c>
      <c r="F80" s="222">
        <f>'IS (Bull-Case)'!F80-'IS (Base-Case)'!F80</f>
        <v>0</v>
      </c>
      <c r="G80" s="222">
        <f>'IS (Bull-Case)'!G80-'IS (Base-Case)'!G80</f>
        <v>0</v>
      </c>
      <c r="H80" s="223">
        <f>'IS (Bull-Case)'!H80-'IS (Base-Case)'!H80</f>
        <v>0</v>
      </c>
      <c r="I80" s="222">
        <f>'IS (Bull-Case)'!I80-'IS (Base-Case)'!I80</f>
        <v>0</v>
      </c>
      <c r="J80" s="222">
        <f>'IS (Bull-Case)'!J80-'IS (Base-Case)'!J80</f>
        <v>0</v>
      </c>
      <c r="K80" s="222">
        <f>'IS (Bull-Case)'!K80-'IS (Base-Case)'!K80</f>
        <v>0</v>
      </c>
      <c r="L80" s="224">
        <f>'IS (Bull-Case)'!L80-'IS (Base-Case)'!L80</f>
        <v>0</v>
      </c>
      <c r="M80" s="223">
        <f>'IS (Bull-Case)'!M80-'IS (Base-Case)'!M80</f>
        <v>0</v>
      </c>
      <c r="N80" s="222">
        <f>'IS (Bull-Case)'!N80-'IS (Base-Case)'!N80</f>
        <v>0</v>
      </c>
      <c r="O80" s="222">
        <f>'IS (Bull-Case)'!O80-'IS (Base-Case)'!O80</f>
        <v>0</v>
      </c>
      <c r="P80" s="222">
        <f>'IS (Bull-Case)'!P80-'IS (Base-Case)'!P80</f>
        <v>0</v>
      </c>
      <c r="Q80" s="222">
        <f>'IS (Bull-Case)'!Q80-'IS (Base-Case)'!Q80</f>
        <v>0</v>
      </c>
      <c r="R80" s="225">
        <f>'IS (Bull-Case)'!R80-'IS (Base-Case)'!R80</f>
        <v>0</v>
      </c>
      <c r="S80" s="224">
        <f>'IS (Bull-Case)'!S80-'IS (Base-Case)'!S80</f>
        <v>0</v>
      </c>
      <c r="T80" s="224">
        <f>'IS (Bull-Case)'!T80-'IS (Base-Case)'!T80</f>
        <v>0</v>
      </c>
      <c r="U80" s="224">
        <f>'IS (Bull-Case)'!U80-'IS (Base-Case)'!U80</f>
        <v>0</v>
      </c>
      <c r="V80" s="224">
        <f>'IS (Bull-Case)'!V80-'IS (Base-Case)'!V80</f>
        <v>0</v>
      </c>
      <c r="W80" s="223">
        <f>'IS (Bull-Case)'!W80-'IS (Base-Case)'!W80</f>
        <v>0</v>
      </c>
      <c r="X80" s="224">
        <f>'IS (Bull-Case)'!X80-'IS (Base-Case)'!X80</f>
        <v>0</v>
      </c>
      <c r="Y80" s="224">
        <f>'IS (Bull-Case)'!Y80-'IS (Base-Case)'!Y80</f>
        <v>0</v>
      </c>
      <c r="Z80" s="224">
        <f>'IS (Bull-Case)'!Z80-'IS (Base-Case)'!Z80</f>
        <v>0</v>
      </c>
      <c r="AA80" s="224">
        <f>'IS (Bull-Case)'!AA80-'IS (Base-Case)'!AA80</f>
        <v>0</v>
      </c>
      <c r="AB80" s="225">
        <f>'IS (Bull-Case)'!AB80-'IS (Base-Case)'!AB80</f>
        <v>0</v>
      </c>
      <c r="AC80" s="224">
        <f>'IS (Bull-Case)'!AC80-'IS (Base-Case)'!AC80</f>
        <v>0</v>
      </c>
      <c r="AD80" s="224">
        <f>'IS (Bull-Case)'!AD80-'IS (Base-Case)'!AD80</f>
        <v>0</v>
      </c>
      <c r="AE80" s="224">
        <f>'IS (Bull-Case)'!AE80-'IS (Base-Case)'!AE80</f>
        <v>0</v>
      </c>
      <c r="AF80" s="224">
        <f>'IS (Bull-Case)'!AF80-'IS (Base-Case)'!AF80</f>
        <v>0</v>
      </c>
      <c r="AG80" s="225">
        <f>'IS (Bull-Case)'!AG80-'IS (Base-Case)'!AG80</f>
        <v>0</v>
      </c>
      <c r="AH80" s="224">
        <f>'IS (Bull-Case)'!AH80-'IS (Base-Case)'!AH80</f>
        <v>0</v>
      </c>
      <c r="AI80" s="224">
        <f>'IS (Bull-Case)'!AI80-'IS (Base-Case)'!AI80</f>
        <v>0</v>
      </c>
      <c r="AJ80" s="224">
        <f>'IS (Bull-Case)'!AJ80-'IS (Base-Case)'!AJ80</f>
        <v>0</v>
      </c>
      <c r="AK80" s="224">
        <f>'IS (Bull-Case)'!AK80-'IS (Base-Case)'!AK80</f>
        <v>0</v>
      </c>
      <c r="AL80" s="225">
        <f>'IS (Bull-Case)'!AL80-'IS (Base-Case)'!AL80</f>
        <v>0</v>
      </c>
      <c r="AM80" s="224">
        <f>'IS (Bull-Case)'!AM80-'IS (Base-Case)'!AM80</f>
        <v>0</v>
      </c>
      <c r="AN80" s="224">
        <f>'IS (Bull-Case)'!AN80-'IS (Base-Case)'!AN80</f>
        <v>0</v>
      </c>
      <c r="AO80" s="224">
        <f>'IS (Bull-Case)'!AO80-'IS (Base-Case)'!AO80</f>
        <v>0</v>
      </c>
      <c r="AP80" s="224">
        <f>'IS (Bull-Case)'!AP80-'IS (Base-Case)'!AP80</f>
        <v>0</v>
      </c>
      <c r="AQ80" s="225">
        <f>'IS (Bull-Case)'!AQ80-'IS (Base-Case)'!AQ80</f>
        <v>0</v>
      </c>
      <c r="AR80" s="224">
        <f>'IS (Bull-Case)'!AR80-'IS (Base-Case)'!AR80</f>
        <v>0</v>
      </c>
      <c r="AS80" s="224">
        <f>'IS (Bull-Case)'!AS80-'IS (Base-Case)'!AS80</f>
        <v>0</v>
      </c>
      <c r="AT80" s="224">
        <f>'IS (Bull-Case)'!AT80-'IS (Base-Case)'!AT80</f>
        <v>0</v>
      </c>
      <c r="AU80" s="224">
        <f>'IS (Bull-Case)'!AU80-'IS (Base-Case)'!AU80</f>
        <v>0</v>
      </c>
      <c r="AV80" s="225">
        <f>'IS (Bull-Case)'!AV80-'IS (Base-Case)'!AV80</f>
        <v>0</v>
      </c>
    </row>
    <row r="81" spans="1:48" outlineLevel="1" x14ac:dyDescent="0.3">
      <c r="B81" s="180" t="s">
        <v>43</v>
      </c>
      <c r="C81" s="207"/>
      <c r="D81" s="151">
        <f>'IS (Bull-Case)'!D81-'IS (Base-Case)'!D81</f>
        <v>0</v>
      </c>
      <c r="E81" s="151">
        <f>'IS (Bull-Case)'!E81-'IS (Base-Case)'!E81</f>
        <v>0</v>
      </c>
      <c r="F81" s="151">
        <f>'IS (Bull-Case)'!F81-'IS (Base-Case)'!F81</f>
        <v>0</v>
      </c>
      <c r="G81" s="151">
        <f>'IS (Bull-Case)'!G81-'IS (Base-Case)'!G81</f>
        <v>0</v>
      </c>
      <c r="H81" s="60">
        <f>'IS (Bull-Case)'!H81-'IS (Base-Case)'!H81</f>
        <v>0</v>
      </c>
      <c r="I81" s="151">
        <f>'IS (Bull-Case)'!I81-'IS (Base-Case)'!I81</f>
        <v>0</v>
      </c>
      <c r="J81" s="151">
        <f>'IS (Bull-Case)'!J81-'IS (Base-Case)'!J81</f>
        <v>0</v>
      </c>
      <c r="K81" s="151">
        <f>'IS (Bull-Case)'!K81-'IS (Base-Case)'!K81</f>
        <v>0</v>
      </c>
      <c r="L81" s="59">
        <f>'IS (Bull-Case)'!L81-'IS (Base-Case)'!L81</f>
        <v>0</v>
      </c>
      <c r="M81" s="60">
        <f>'IS (Bull-Case)'!M81-'IS (Base-Case)'!M81</f>
        <v>0</v>
      </c>
      <c r="N81" s="151">
        <f>'IS (Bull-Case)'!N81-'IS (Base-Case)'!N81</f>
        <v>0</v>
      </c>
      <c r="O81" s="59">
        <f>'IS (Bull-Case)'!O81-'IS (Base-Case)'!O81</f>
        <v>0</v>
      </c>
      <c r="P81" s="59">
        <f>'IS (Bull-Case)'!P81-'IS (Base-Case)'!P81</f>
        <v>0</v>
      </c>
      <c r="Q81" s="151">
        <f>'IS (Bull-Case)'!Q81-'IS (Base-Case)'!Q81</f>
        <v>0</v>
      </c>
      <c r="R81" s="60">
        <f>'IS (Bull-Case)'!R81-'IS (Base-Case)'!R81</f>
        <v>0</v>
      </c>
      <c r="S81" s="59">
        <f>'IS (Bull-Case)'!S81-'IS (Base-Case)'!S81</f>
        <v>0</v>
      </c>
      <c r="T81" s="59">
        <f>'IS (Bull-Case)'!T81-'IS (Base-Case)'!T81</f>
        <v>0</v>
      </c>
      <c r="U81" s="59">
        <f>'IS (Bull-Case)'!U81-'IS (Base-Case)'!U81</f>
        <v>0</v>
      </c>
      <c r="V81" s="59">
        <f>'IS (Bull-Case)'!V81-'IS (Base-Case)'!V81</f>
        <v>0</v>
      </c>
      <c r="W81" s="148">
        <f>'IS (Bull-Case)'!W81-'IS (Base-Case)'!W81</f>
        <v>0</v>
      </c>
      <c r="X81" s="59">
        <f>'IS (Bull-Case)'!X81-'IS (Base-Case)'!X81</f>
        <v>0</v>
      </c>
      <c r="Y81" s="59">
        <f>'IS (Bull-Case)'!Y81-'IS (Base-Case)'!Y81</f>
        <v>0</v>
      </c>
      <c r="Z81" s="59">
        <f>'IS (Bull-Case)'!Z81-'IS (Base-Case)'!Z81</f>
        <v>0</v>
      </c>
      <c r="AA81" s="59">
        <f>'IS (Bull-Case)'!AA81-'IS (Base-Case)'!AA81</f>
        <v>0</v>
      </c>
      <c r="AB81" s="60">
        <f>'IS (Bull-Case)'!AB81-'IS (Base-Case)'!AB81</f>
        <v>0</v>
      </c>
      <c r="AC81" s="59">
        <f>'IS (Bull-Case)'!AC81-'IS (Base-Case)'!AC81</f>
        <v>0</v>
      </c>
      <c r="AD81" s="59">
        <f>'IS (Bull-Case)'!AD81-'IS (Base-Case)'!AD81</f>
        <v>0</v>
      </c>
      <c r="AE81" s="59">
        <f>'IS (Bull-Case)'!AE81-'IS (Base-Case)'!AE81</f>
        <v>0</v>
      </c>
      <c r="AF81" s="59">
        <f>'IS (Bull-Case)'!AF81-'IS (Base-Case)'!AF81</f>
        <v>0</v>
      </c>
      <c r="AG81" s="60">
        <f>'IS (Bull-Case)'!AG81-'IS (Base-Case)'!AG81</f>
        <v>0</v>
      </c>
      <c r="AH81" s="59">
        <f>'IS (Bull-Case)'!AH81-'IS (Base-Case)'!AH81</f>
        <v>0</v>
      </c>
      <c r="AI81" s="59">
        <f>'IS (Bull-Case)'!AI81-'IS (Base-Case)'!AI81</f>
        <v>0</v>
      </c>
      <c r="AJ81" s="59">
        <f>'IS (Bull-Case)'!AJ81-'IS (Base-Case)'!AJ81</f>
        <v>0</v>
      </c>
      <c r="AK81" s="59">
        <f>'IS (Bull-Case)'!AK81-'IS (Base-Case)'!AK81</f>
        <v>0</v>
      </c>
      <c r="AL81" s="60">
        <f>'IS (Bull-Case)'!AL81-'IS (Base-Case)'!AL81</f>
        <v>0</v>
      </c>
      <c r="AM81" s="59">
        <f>'IS (Bull-Case)'!AM81-'IS (Base-Case)'!AM81</f>
        <v>0</v>
      </c>
      <c r="AN81" s="59">
        <f>'IS (Bull-Case)'!AN81-'IS (Base-Case)'!AN81</f>
        <v>0</v>
      </c>
      <c r="AO81" s="59">
        <f>'IS (Bull-Case)'!AO81-'IS (Base-Case)'!AO81</f>
        <v>0</v>
      </c>
      <c r="AP81" s="59">
        <f>'IS (Bull-Case)'!AP81-'IS (Base-Case)'!AP81</f>
        <v>0</v>
      </c>
      <c r="AQ81" s="60">
        <f>'IS (Bull-Case)'!AQ81-'IS (Base-Case)'!AQ81</f>
        <v>0</v>
      </c>
      <c r="AR81" s="59">
        <f>'IS (Bull-Case)'!AR81-'IS (Base-Case)'!AR81</f>
        <v>0</v>
      </c>
      <c r="AS81" s="59">
        <f>'IS (Bull-Case)'!AS81-'IS (Base-Case)'!AS81</f>
        <v>0</v>
      </c>
      <c r="AT81" s="59">
        <f>'IS (Bull-Case)'!AT81-'IS (Base-Case)'!AT81</f>
        <v>0</v>
      </c>
      <c r="AU81" s="59">
        <f>'IS (Bull-Case)'!AU81-'IS (Base-Case)'!AU81</f>
        <v>0</v>
      </c>
      <c r="AV81" s="60">
        <f>'IS (Bull-Case)'!AV81-'IS (Base-Case)'!AV81</f>
        <v>0</v>
      </c>
    </row>
    <row r="82" spans="1:48" s="8" customFormat="1" outlineLevel="1" x14ac:dyDescent="0.3">
      <c r="B82" s="208" t="s">
        <v>45</v>
      </c>
      <c r="C82" s="206"/>
      <c r="D82" s="152">
        <f>'IS (Bull-Case)'!D82-'IS (Base-Case)'!D82</f>
        <v>0</v>
      </c>
      <c r="E82" s="152">
        <f>'IS (Bull-Case)'!E82-'IS (Base-Case)'!E82</f>
        <v>0</v>
      </c>
      <c r="F82" s="152">
        <f>'IS (Bull-Case)'!F82-'IS (Base-Case)'!F82</f>
        <v>0</v>
      </c>
      <c r="G82" s="152">
        <f>'IS (Bull-Case)'!G82-'IS (Base-Case)'!G82</f>
        <v>0</v>
      </c>
      <c r="H82" s="61">
        <f>'IS (Bull-Case)'!H82-'IS (Base-Case)'!H82</f>
        <v>0</v>
      </c>
      <c r="I82" s="152">
        <f>'IS (Bull-Case)'!I82-'IS (Base-Case)'!I82</f>
        <v>0</v>
      </c>
      <c r="J82" s="152">
        <f>'IS (Bull-Case)'!J82-'IS (Base-Case)'!J82</f>
        <v>0</v>
      </c>
      <c r="K82" s="152">
        <f>'IS (Bull-Case)'!K82-'IS (Base-Case)'!K82</f>
        <v>0</v>
      </c>
      <c r="L82" s="157">
        <f>'IS (Bull-Case)'!L82-'IS (Base-Case)'!L82</f>
        <v>0</v>
      </c>
      <c r="M82" s="61">
        <f>'IS (Bull-Case)'!M82-'IS (Base-Case)'!M82</f>
        <v>0</v>
      </c>
      <c r="N82" s="152">
        <f>'IS (Bull-Case)'!N82-'IS (Base-Case)'!N82</f>
        <v>0</v>
      </c>
      <c r="O82" s="152">
        <f>'IS (Bull-Case)'!O82-'IS (Base-Case)'!O82</f>
        <v>0</v>
      </c>
      <c r="P82" s="152">
        <f>'IS (Bull-Case)'!P82-'IS (Base-Case)'!P82</f>
        <v>0</v>
      </c>
      <c r="Q82" s="152">
        <f>'IS (Bull-Case)'!Q82-'IS (Base-Case)'!Q82</f>
        <v>0</v>
      </c>
      <c r="R82" s="377">
        <f>'IS (Bull-Case)'!R82-'IS (Base-Case)'!R82</f>
        <v>0</v>
      </c>
      <c r="S82" s="152">
        <f>'IS (Bull-Case)'!S82-'IS (Base-Case)'!S82</f>
        <v>0</v>
      </c>
      <c r="T82" s="152">
        <f>'IS (Bull-Case)'!T82-'IS (Base-Case)'!T82</f>
        <v>0</v>
      </c>
      <c r="U82" s="152">
        <f>'IS (Bull-Case)'!U82-'IS (Base-Case)'!U82</f>
        <v>0</v>
      </c>
      <c r="V82" s="152">
        <f>'IS (Bull-Case)'!V82-'IS (Base-Case)'!V82</f>
        <v>0</v>
      </c>
      <c r="W82" s="377">
        <f>'IS (Bull-Case)'!W82-'IS (Base-Case)'!W82</f>
        <v>0</v>
      </c>
      <c r="X82" s="157">
        <f>'IS (Bull-Case)'!X82-'IS (Base-Case)'!X82</f>
        <v>0</v>
      </c>
      <c r="Y82" s="157">
        <f>'IS (Bull-Case)'!Y82-'IS (Base-Case)'!Y82</f>
        <v>0</v>
      </c>
      <c r="Z82" s="157">
        <f>'IS (Bull-Case)'!Z82-'IS (Base-Case)'!Z82</f>
        <v>0</v>
      </c>
      <c r="AA82" s="157">
        <f>'IS (Bull-Case)'!AA82-'IS (Base-Case)'!AA82</f>
        <v>0</v>
      </c>
      <c r="AB82" s="377">
        <f>'IS (Bull-Case)'!AB82-'IS (Base-Case)'!AB82</f>
        <v>0</v>
      </c>
      <c r="AC82" s="157">
        <f>'IS (Bull-Case)'!AC82-'IS (Base-Case)'!AC82</f>
        <v>0</v>
      </c>
      <c r="AD82" s="157">
        <f>'IS (Bull-Case)'!AD82-'IS (Base-Case)'!AD82</f>
        <v>0</v>
      </c>
      <c r="AE82" s="157">
        <f>'IS (Bull-Case)'!AE82-'IS (Base-Case)'!AE82</f>
        <v>0</v>
      </c>
      <c r="AF82" s="157">
        <f>'IS (Bull-Case)'!AF82-'IS (Base-Case)'!AF82</f>
        <v>0</v>
      </c>
      <c r="AG82" s="377">
        <f>'IS (Bull-Case)'!AG82-'IS (Base-Case)'!AG82</f>
        <v>0</v>
      </c>
      <c r="AH82" s="157">
        <f>'IS (Bull-Case)'!AH82-'IS (Base-Case)'!AH82</f>
        <v>0</v>
      </c>
      <c r="AI82" s="157">
        <f>'IS (Bull-Case)'!AI82-'IS (Base-Case)'!AI82</f>
        <v>0</v>
      </c>
      <c r="AJ82" s="157">
        <f>'IS (Bull-Case)'!AJ82-'IS (Base-Case)'!AJ82</f>
        <v>0</v>
      </c>
      <c r="AK82" s="157">
        <f>'IS (Bull-Case)'!AK82-'IS (Base-Case)'!AK82</f>
        <v>0</v>
      </c>
      <c r="AL82" s="377">
        <f>'IS (Bull-Case)'!AL82-'IS (Base-Case)'!AL82</f>
        <v>0</v>
      </c>
      <c r="AM82" s="157">
        <f>'IS (Bull-Case)'!AM82-'IS (Base-Case)'!AM82</f>
        <v>0</v>
      </c>
      <c r="AN82" s="157">
        <f>'IS (Bull-Case)'!AN82-'IS (Base-Case)'!AN82</f>
        <v>0</v>
      </c>
      <c r="AO82" s="157">
        <f>'IS (Bull-Case)'!AO82-'IS (Base-Case)'!AO82</f>
        <v>0</v>
      </c>
      <c r="AP82" s="157">
        <f>'IS (Bull-Case)'!AP82-'IS (Base-Case)'!AP82</f>
        <v>0</v>
      </c>
      <c r="AQ82" s="134">
        <f>'IS (Bull-Case)'!AQ82-'IS (Base-Case)'!AQ82</f>
        <v>0</v>
      </c>
      <c r="AR82" s="157">
        <f>'IS (Bull-Case)'!AR82-'IS (Base-Case)'!AR82</f>
        <v>0</v>
      </c>
      <c r="AS82" s="157">
        <f>'IS (Bull-Case)'!AS82-'IS (Base-Case)'!AS82</f>
        <v>0</v>
      </c>
      <c r="AT82" s="157">
        <f>'IS (Bull-Case)'!AT82-'IS (Base-Case)'!AT82</f>
        <v>0</v>
      </c>
      <c r="AU82" s="157">
        <f>'IS (Bull-Case)'!AU82-'IS (Base-Case)'!AU82</f>
        <v>0</v>
      </c>
      <c r="AV82" s="61">
        <f>'IS (Bull-Case)'!AV82-'IS (Base-Case)'!AV82</f>
        <v>0</v>
      </c>
    </row>
    <row r="83" spans="1:48" s="8" customFormat="1" outlineLevel="1" x14ac:dyDescent="0.3">
      <c r="B83" s="451" t="s">
        <v>117</v>
      </c>
      <c r="C83" s="452"/>
      <c r="D83" s="117">
        <f>'IS (Bull-Case)'!D83-'IS (Base-Case)'!D83</f>
        <v>0</v>
      </c>
      <c r="E83" s="117">
        <f>'IS (Bull-Case)'!E83-'IS (Base-Case)'!E83</f>
        <v>0</v>
      </c>
      <c r="F83" s="117">
        <f>'IS (Bull-Case)'!F83-'IS (Base-Case)'!F83</f>
        <v>0</v>
      </c>
      <c r="G83" s="117">
        <f>'IS (Bull-Case)'!G83-'IS (Base-Case)'!G83</f>
        <v>0</v>
      </c>
      <c r="H83" s="192">
        <f>'IS (Bull-Case)'!H83-'IS (Base-Case)'!H83</f>
        <v>0</v>
      </c>
      <c r="I83" s="117">
        <f>'IS (Bull-Case)'!I83-'IS (Base-Case)'!I83</f>
        <v>0</v>
      </c>
      <c r="J83" s="117">
        <f>'IS (Bull-Case)'!J83-'IS (Base-Case)'!J83</f>
        <v>0</v>
      </c>
      <c r="K83" s="117">
        <f>'IS (Bull-Case)'!K83-'IS (Base-Case)'!K83</f>
        <v>0</v>
      </c>
      <c r="L83" s="117">
        <f>'IS (Bull-Case)'!L83-'IS (Base-Case)'!L83</f>
        <v>0</v>
      </c>
      <c r="M83" s="192">
        <f>'IS (Bull-Case)'!M83-'IS (Base-Case)'!M83</f>
        <v>0</v>
      </c>
      <c r="N83" s="117">
        <f>'IS (Bull-Case)'!N83-'IS (Base-Case)'!N83</f>
        <v>0</v>
      </c>
      <c r="O83" s="67">
        <f>'IS (Bull-Case)'!O83-'IS (Base-Case)'!O83</f>
        <v>0</v>
      </c>
      <c r="P83" s="67">
        <f>'IS (Bull-Case)'!P83-'IS (Base-Case)'!P83</f>
        <v>0</v>
      </c>
      <c r="Q83" s="67">
        <f>'IS (Bull-Case)'!Q83-'IS (Base-Case)'!Q83</f>
        <v>0</v>
      </c>
      <c r="R83" s="192">
        <f>'IS (Bull-Case)'!R83-'IS (Base-Case)'!R83</f>
        <v>0</v>
      </c>
      <c r="S83" s="67">
        <f>'IS (Bull-Case)'!S83-'IS (Base-Case)'!S83</f>
        <v>0</v>
      </c>
      <c r="T83" s="67">
        <f>'IS (Bull-Case)'!T83-'IS (Base-Case)'!T83</f>
        <v>0</v>
      </c>
      <c r="U83" s="67">
        <f>'IS (Bull-Case)'!U83-'IS (Base-Case)'!U83</f>
        <v>0</v>
      </c>
      <c r="V83" s="67">
        <f>'IS (Bull-Case)'!V83-'IS (Base-Case)'!V83</f>
        <v>0</v>
      </c>
      <c r="W83" s="253">
        <f>'IS (Bull-Case)'!W83-'IS (Base-Case)'!W83</f>
        <v>0</v>
      </c>
      <c r="X83" s="67">
        <f>'IS (Bull-Case)'!X83-'IS (Base-Case)'!X83</f>
        <v>0</v>
      </c>
      <c r="Y83" s="67">
        <f>'IS (Bull-Case)'!Y83-'IS (Base-Case)'!Y83</f>
        <v>0</v>
      </c>
      <c r="Z83" s="67">
        <f>'IS (Bull-Case)'!Z83-'IS (Base-Case)'!Z83</f>
        <v>0</v>
      </c>
      <c r="AA83" s="67">
        <f>'IS (Bull-Case)'!AA83-'IS (Base-Case)'!AA83</f>
        <v>0</v>
      </c>
      <c r="AB83" s="192">
        <f>'IS (Bull-Case)'!AB83-'IS (Base-Case)'!AB83</f>
        <v>0</v>
      </c>
      <c r="AC83" s="67">
        <f>'IS (Bull-Case)'!AC83-'IS (Base-Case)'!AC83</f>
        <v>0</v>
      </c>
      <c r="AD83" s="67">
        <f>'IS (Bull-Case)'!AD83-'IS (Base-Case)'!AD83</f>
        <v>0</v>
      </c>
      <c r="AE83" s="67">
        <f>'IS (Bull-Case)'!AE83-'IS (Base-Case)'!AE83</f>
        <v>0</v>
      </c>
      <c r="AF83" s="67">
        <f>'IS (Bull-Case)'!AF83-'IS (Base-Case)'!AF83</f>
        <v>0</v>
      </c>
      <c r="AG83" s="192">
        <f>'IS (Bull-Case)'!AG83-'IS (Base-Case)'!AG83</f>
        <v>0</v>
      </c>
      <c r="AH83" s="67">
        <f>'IS (Bull-Case)'!AH83-'IS (Base-Case)'!AH83</f>
        <v>0</v>
      </c>
      <c r="AI83" s="67">
        <f>'IS (Bull-Case)'!AI83-'IS (Base-Case)'!AI83</f>
        <v>0</v>
      </c>
      <c r="AJ83" s="67">
        <f>'IS (Bull-Case)'!AJ83-'IS (Base-Case)'!AJ83</f>
        <v>0</v>
      </c>
      <c r="AK83" s="67">
        <f>'IS (Bull-Case)'!AK83-'IS (Base-Case)'!AK83</f>
        <v>0</v>
      </c>
      <c r="AL83" s="192">
        <f>'IS (Bull-Case)'!AL83-'IS (Base-Case)'!AL83</f>
        <v>0</v>
      </c>
      <c r="AM83" s="67">
        <f>'IS (Bull-Case)'!AM83-'IS (Base-Case)'!AM83</f>
        <v>0</v>
      </c>
      <c r="AN83" s="67">
        <f>'IS (Bull-Case)'!AN83-'IS (Base-Case)'!AN83</f>
        <v>0</v>
      </c>
      <c r="AO83" s="67">
        <f>'IS (Bull-Case)'!AO83-'IS (Base-Case)'!AO83</f>
        <v>0</v>
      </c>
      <c r="AP83" s="67">
        <f>'IS (Bull-Case)'!AP83-'IS (Base-Case)'!AP83</f>
        <v>0</v>
      </c>
      <c r="AQ83" s="192">
        <f>'IS (Bull-Case)'!AQ83-'IS (Base-Case)'!AQ83</f>
        <v>0</v>
      </c>
      <c r="AR83" s="67">
        <f>'IS (Bull-Case)'!AR83-'IS (Base-Case)'!AR83</f>
        <v>0</v>
      </c>
      <c r="AS83" s="67">
        <f>'IS (Bull-Case)'!AS83-'IS (Base-Case)'!AS83</f>
        <v>0</v>
      </c>
      <c r="AT83" s="67">
        <f>'IS (Bull-Case)'!AT83-'IS (Base-Case)'!AT83</f>
        <v>0</v>
      </c>
      <c r="AU83" s="67">
        <f>'IS (Bull-Case)'!AU83-'IS (Base-Case)'!AU83</f>
        <v>0</v>
      </c>
      <c r="AV83" s="192">
        <f>'IS (Bull-Case)'!AV83-'IS (Base-Case)'!AV83</f>
        <v>0</v>
      </c>
    </row>
    <row r="84" spans="1:48" outlineLevel="1" x14ac:dyDescent="0.3">
      <c r="B84" s="180" t="s">
        <v>47</v>
      </c>
      <c r="C84" s="201"/>
      <c r="D84" s="101">
        <f>'IS (Bull-Case)'!D84-'IS (Base-Case)'!D84</f>
        <v>0</v>
      </c>
      <c r="E84" s="101">
        <f>'IS (Bull-Case)'!E84-'IS (Base-Case)'!E84</f>
        <v>0</v>
      </c>
      <c r="F84" s="101">
        <f>'IS (Bull-Case)'!F84-'IS (Base-Case)'!F84</f>
        <v>0</v>
      </c>
      <c r="G84" s="101">
        <f>'IS (Bull-Case)'!G84-'IS (Base-Case)'!G84</f>
        <v>0</v>
      </c>
      <c r="H84" s="122">
        <f>'IS (Bull-Case)'!H84-'IS (Base-Case)'!H84</f>
        <v>0</v>
      </c>
      <c r="I84" s="101">
        <f>'IS (Bull-Case)'!I84-'IS (Base-Case)'!I84</f>
        <v>0</v>
      </c>
      <c r="J84" s="101">
        <f>'IS (Bull-Case)'!J84-'IS (Base-Case)'!J84</f>
        <v>0</v>
      </c>
      <c r="K84" s="101">
        <f>'IS (Bull-Case)'!K84-'IS (Base-Case)'!K84</f>
        <v>0</v>
      </c>
      <c r="L84" s="101">
        <f>'IS (Bull-Case)'!L84-'IS (Base-Case)'!L84</f>
        <v>0</v>
      </c>
      <c r="M84" s="122">
        <f>'IS (Bull-Case)'!M84-'IS (Base-Case)'!M84</f>
        <v>0</v>
      </c>
      <c r="N84" s="101">
        <f>'IS (Bull-Case)'!N84-'IS (Base-Case)'!N84</f>
        <v>0</v>
      </c>
      <c r="O84" s="101">
        <f>'IS (Bull-Case)'!O84-'IS (Base-Case)'!O84</f>
        <v>0</v>
      </c>
      <c r="P84" s="101">
        <f>'IS (Bull-Case)'!P84-'IS (Base-Case)'!P84</f>
        <v>0</v>
      </c>
      <c r="Q84" s="101">
        <f>'IS (Bull-Case)'!Q84-'IS (Base-Case)'!Q84</f>
        <v>0</v>
      </c>
      <c r="R84" s="122">
        <f>'IS (Bull-Case)'!R84-'IS (Base-Case)'!R84</f>
        <v>0</v>
      </c>
      <c r="S84" s="101">
        <f>'IS (Bull-Case)'!S84-'IS (Base-Case)'!S84</f>
        <v>0</v>
      </c>
      <c r="T84" s="101">
        <f>'IS (Bull-Case)'!T84-'IS (Base-Case)'!T84</f>
        <v>0</v>
      </c>
      <c r="U84" s="101">
        <f>'IS (Bull-Case)'!U84-'IS (Base-Case)'!U84</f>
        <v>0</v>
      </c>
      <c r="V84" s="33">
        <f>'IS (Bull-Case)'!V84-'IS (Base-Case)'!V84</f>
        <v>0</v>
      </c>
      <c r="W84" s="122">
        <f>'IS (Bull-Case)'!W84-'IS (Base-Case)'!W84</f>
        <v>0</v>
      </c>
      <c r="X84" s="33">
        <f>'IS (Bull-Case)'!X84-'IS (Base-Case)'!X84</f>
        <v>0</v>
      </c>
      <c r="Y84" s="33">
        <f>'IS (Bull-Case)'!Y84-'IS (Base-Case)'!Y84</f>
        <v>0</v>
      </c>
      <c r="Z84" s="33">
        <f>'IS (Bull-Case)'!Z84-'IS (Base-Case)'!Z84</f>
        <v>0</v>
      </c>
      <c r="AA84" s="33">
        <f>'IS (Bull-Case)'!AA84-'IS (Base-Case)'!AA84</f>
        <v>0</v>
      </c>
      <c r="AB84" s="122">
        <f>'IS (Bull-Case)'!AB84-'IS (Base-Case)'!AB84</f>
        <v>0</v>
      </c>
      <c r="AC84" s="33">
        <f>'IS (Bull-Case)'!AC84-'IS (Base-Case)'!AC84</f>
        <v>0</v>
      </c>
      <c r="AD84" s="33">
        <f>'IS (Bull-Case)'!AD84-'IS (Base-Case)'!AD84</f>
        <v>0</v>
      </c>
      <c r="AE84" s="33">
        <f>'IS (Bull-Case)'!AE84-'IS (Base-Case)'!AE84</f>
        <v>0</v>
      </c>
      <c r="AF84" s="33">
        <f>'IS (Bull-Case)'!AF84-'IS (Base-Case)'!AF84</f>
        <v>0</v>
      </c>
      <c r="AG84" s="122">
        <f>'IS (Bull-Case)'!AG84-'IS (Base-Case)'!AG84</f>
        <v>0</v>
      </c>
      <c r="AH84" s="33">
        <f>'IS (Bull-Case)'!AH84-'IS (Base-Case)'!AH84</f>
        <v>0</v>
      </c>
      <c r="AI84" s="33">
        <f>'IS (Bull-Case)'!AI84-'IS (Base-Case)'!AI84</f>
        <v>0</v>
      </c>
      <c r="AJ84" s="33">
        <f>'IS (Bull-Case)'!AJ84-'IS (Base-Case)'!AJ84</f>
        <v>0</v>
      </c>
      <c r="AK84" s="33">
        <f>'IS (Bull-Case)'!AK84-'IS (Base-Case)'!AK84</f>
        <v>0</v>
      </c>
      <c r="AL84" s="122">
        <f>'IS (Bull-Case)'!AL84-'IS (Base-Case)'!AL84</f>
        <v>0</v>
      </c>
      <c r="AM84" s="33">
        <f>'IS (Bull-Case)'!AM84-'IS (Base-Case)'!AM84</f>
        <v>0</v>
      </c>
      <c r="AN84" s="33">
        <f>'IS (Bull-Case)'!AN84-'IS (Base-Case)'!AN84</f>
        <v>0</v>
      </c>
      <c r="AO84" s="33">
        <f>'IS (Bull-Case)'!AO84-'IS (Base-Case)'!AO84</f>
        <v>0</v>
      </c>
      <c r="AP84" s="33">
        <f>'IS (Bull-Case)'!AP84-'IS (Base-Case)'!AP84</f>
        <v>0</v>
      </c>
      <c r="AQ84" s="122">
        <f>'IS (Bull-Case)'!AQ84-'IS (Base-Case)'!AQ84</f>
        <v>0</v>
      </c>
      <c r="AR84" s="33">
        <f>'IS (Bull-Case)'!AR84-'IS (Base-Case)'!AR84</f>
        <v>0</v>
      </c>
      <c r="AS84" s="33">
        <f>'IS (Bull-Case)'!AS84-'IS (Base-Case)'!AS84</f>
        <v>0</v>
      </c>
      <c r="AT84" s="33">
        <f>'IS (Bull-Case)'!AT84-'IS (Base-Case)'!AT84</f>
        <v>0</v>
      </c>
      <c r="AU84" s="33">
        <f>'IS (Bull-Case)'!AU84-'IS (Base-Case)'!AU84</f>
        <v>0</v>
      </c>
      <c r="AV84" s="122">
        <f>'IS (Bull-Case)'!AV84-'IS (Base-Case)'!AV84</f>
        <v>0</v>
      </c>
    </row>
    <row r="85" spans="1:48" outlineLevel="1" x14ac:dyDescent="0.3">
      <c r="B85" s="180" t="s">
        <v>49</v>
      </c>
      <c r="C85" s="201"/>
      <c r="D85" s="16">
        <f>'IS (Bull-Case)'!D85-'IS (Base-Case)'!D85</f>
        <v>0</v>
      </c>
      <c r="E85" s="16">
        <f>'IS (Bull-Case)'!E85-'IS (Base-Case)'!E85</f>
        <v>0</v>
      </c>
      <c r="F85" s="16">
        <f>'IS (Bull-Case)'!F85-'IS (Base-Case)'!F85</f>
        <v>0</v>
      </c>
      <c r="G85" s="16">
        <f>'IS (Bull-Case)'!G85-'IS (Base-Case)'!G85</f>
        <v>0</v>
      </c>
      <c r="H85" s="26">
        <f>'IS (Bull-Case)'!H85-'IS (Base-Case)'!H85</f>
        <v>0</v>
      </c>
      <c r="I85" s="16">
        <f>'IS (Bull-Case)'!I85-'IS (Base-Case)'!I85</f>
        <v>0</v>
      </c>
      <c r="J85" s="16">
        <f>'IS (Bull-Case)'!J85-'IS (Base-Case)'!J85</f>
        <v>0</v>
      </c>
      <c r="K85" s="16">
        <f>'IS (Bull-Case)'!K85-'IS (Base-Case)'!K85</f>
        <v>0</v>
      </c>
      <c r="L85" s="16">
        <f>'IS (Bull-Case)'!L85-'IS (Base-Case)'!L85</f>
        <v>0</v>
      </c>
      <c r="M85" s="6">
        <f>'IS (Bull-Case)'!M85-'IS (Base-Case)'!M85</f>
        <v>0</v>
      </c>
      <c r="N85" s="16">
        <f>'IS (Bull-Case)'!N85-'IS (Base-Case)'!N85</f>
        <v>0</v>
      </c>
      <c r="O85" s="16">
        <f>'IS (Bull-Case)'!O85-'IS (Base-Case)'!O85</f>
        <v>0</v>
      </c>
      <c r="P85" s="16">
        <f>'IS (Bull-Case)'!P85-'IS (Base-Case)'!P85</f>
        <v>0</v>
      </c>
      <c r="Q85" s="16">
        <f>'IS (Bull-Case)'!Q85-'IS (Base-Case)'!Q85</f>
        <v>0</v>
      </c>
      <c r="R85" s="6">
        <f>'IS (Bull-Case)'!R85-'IS (Base-Case)'!R85</f>
        <v>0</v>
      </c>
      <c r="S85" s="16">
        <f>'IS (Bull-Case)'!S85-'IS (Base-Case)'!S85</f>
        <v>0</v>
      </c>
      <c r="T85" s="16">
        <f>'IS (Bull-Case)'!T85-'IS (Base-Case)'!T85</f>
        <v>0</v>
      </c>
      <c r="U85" s="16">
        <f>'IS (Bull-Case)'!U85-'IS (Base-Case)'!U85</f>
        <v>0</v>
      </c>
      <c r="V85" s="16">
        <f>'IS (Bull-Case)'!V85-'IS (Base-Case)'!V85</f>
        <v>0</v>
      </c>
      <c r="W85" s="130">
        <f>'IS (Bull-Case)'!W85-'IS (Base-Case)'!W85</f>
        <v>0</v>
      </c>
      <c r="X85" s="16">
        <f>'IS (Bull-Case)'!X85-'IS (Base-Case)'!X85</f>
        <v>0</v>
      </c>
      <c r="Y85" s="16">
        <f>'IS (Bull-Case)'!Y85-'IS (Base-Case)'!Y85</f>
        <v>0</v>
      </c>
      <c r="Z85" s="16">
        <f>'IS (Bull-Case)'!Z85-'IS (Base-Case)'!Z85</f>
        <v>0</v>
      </c>
      <c r="AA85" s="16">
        <f>'IS (Bull-Case)'!AA85-'IS (Base-Case)'!AA85</f>
        <v>0</v>
      </c>
      <c r="AB85" s="6">
        <f>'IS (Bull-Case)'!AB85-'IS (Base-Case)'!AB85</f>
        <v>0</v>
      </c>
      <c r="AC85" s="16">
        <f>'IS (Bull-Case)'!AC85-'IS (Base-Case)'!AC85</f>
        <v>0</v>
      </c>
      <c r="AD85" s="16">
        <f>'IS (Bull-Case)'!AD85-'IS (Base-Case)'!AD85</f>
        <v>0</v>
      </c>
      <c r="AE85" s="16">
        <f>'IS (Bull-Case)'!AE85-'IS (Base-Case)'!AE85</f>
        <v>0</v>
      </c>
      <c r="AF85" s="16">
        <f>'IS (Bull-Case)'!AF85-'IS (Base-Case)'!AF85</f>
        <v>0</v>
      </c>
      <c r="AG85" s="6">
        <f>'IS (Bull-Case)'!AG85-'IS (Base-Case)'!AG85</f>
        <v>0</v>
      </c>
      <c r="AH85" s="16">
        <f>'IS (Bull-Case)'!AH85-'IS (Base-Case)'!AH85</f>
        <v>0</v>
      </c>
      <c r="AI85" s="16">
        <f>'IS (Bull-Case)'!AI85-'IS (Base-Case)'!AI85</f>
        <v>0</v>
      </c>
      <c r="AJ85" s="16">
        <f>'IS (Bull-Case)'!AJ85-'IS (Base-Case)'!AJ85</f>
        <v>0</v>
      </c>
      <c r="AK85" s="16">
        <f>'IS (Bull-Case)'!AK85-'IS (Base-Case)'!AK85</f>
        <v>0</v>
      </c>
      <c r="AL85" s="6">
        <f>'IS (Bull-Case)'!AL85-'IS (Base-Case)'!AL85</f>
        <v>0</v>
      </c>
      <c r="AM85" s="16">
        <f>'IS (Bull-Case)'!AM85-'IS (Base-Case)'!AM85</f>
        <v>0</v>
      </c>
      <c r="AN85" s="16">
        <f>'IS (Bull-Case)'!AN85-'IS (Base-Case)'!AN85</f>
        <v>0</v>
      </c>
      <c r="AO85" s="16">
        <f>'IS (Bull-Case)'!AO85-'IS (Base-Case)'!AO85</f>
        <v>0</v>
      </c>
      <c r="AP85" s="16">
        <f>'IS (Bull-Case)'!AP85-'IS (Base-Case)'!AP85</f>
        <v>0</v>
      </c>
      <c r="AQ85" s="6">
        <f>'IS (Bull-Case)'!AQ85-'IS (Base-Case)'!AQ85</f>
        <v>0</v>
      </c>
      <c r="AR85" s="16">
        <f>'IS (Bull-Case)'!AR85-'IS (Base-Case)'!AR85</f>
        <v>0</v>
      </c>
      <c r="AS85" s="16">
        <f>'IS (Bull-Case)'!AS85-'IS (Base-Case)'!AS85</f>
        <v>0</v>
      </c>
      <c r="AT85" s="16">
        <f>'IS (Bull-Case)'!AT85-'IS (Base-Case)'!AT85</f>
        <v>0</v>
      </c>
      <c r="AU85" s="16">
        <f>'IS (Bull-Case)'!AU85-'IS (Base-Case)'!AU85</f>
        <v>0</v>
      </c>
      <c r="AV85" s="6">
        <f>'IS (Bull-Case)'!AV85-'IS (Base-Case)'!AV85</f>
        <v>0</v>
      </c>
    </row>
    <row r="86" spans="1:48" outlineLevel="1" x14ac:dyDescent="0.3">
      <c r="B86" s="180" t="s">
        <v>48</v>
      </c>
      <c r="C86" s="201"/>
      <c r="D86" s="43">
        <f>'IS (Bull-Case)'!D86-'IS (Base-Case)'!D86</f>
        <v>0</v>
      </c>
      <c r="E86" s="114">
        <f>'IS (Bull-Case)'!E86-'IS (Base-Case)'!E86</f>
        <v>0</v>
      </c>
      <c r="F86" s="114">
        <f>'IS (Bull-Case)'!F86-'IS (Base-Case)'!F86</f>
        <v>0</v>
      </c>
      <c r="G86" s="114">
        <f>'IS (Bull-Case)'!G86-'IS (Base-Case)'!G86</f>
        <v>0</v>
      </c>
      <c r="H86" s="26">
        <f>'IS (Bull-Case)'!H86-'IS (Base-Case)'!H86</f>
        <v>0</v>
      </c>
      <c r="I86" s="114">
        <f>'IS (Bull-Case)'!I86-'IS (Base-Case)'!I86</f>
        <v>0</v>
      </c>
      <c r="J86" s="114">
        <f>'IS (Bull-Case)'!J86-'IS (Base-Case)'!J86</f>
        <v>0</v>
      </c>
      <c r="K86" s="114">
        <f>'IS (Bull-Case)'!K86-'IS (Base-Case)'!K86</f>
        <v>0</v>
      </c>
      <c r="L86" s="114">
        <f>'IS (Bull-Case)'!L86-'IS (Base-Case)'!L86</f>
        <v>0</v>
      </c>
      <c r="M86" s="6">
        <f>'IS (Bull-Case)'!M86-'IS (Base-Case)'!M86</f>
        <v>0</v>
      </c>
      <c r="N86" s="114">
        <f>'IS (Bull-Case)'!N86-'IS (Base-Case)'!N86</f>
        <v>0</v>
      </c>
      <c r="O86" s="114">
        <f>'IS (Bull-Case)'!O86-'IS (Base-Case)'!O86</f>
        <v>0</v>
      </c>
      <c r="P86" s="114">
        <f>'IS (Bull-Case)'!P86-'IS (Base-Case)'!P86</f>
        <v>0</v>
      </c>
      <c r="Q86" s="114">
        <f>'IS (Bull-Case)'!Q86-'IS (Base-Case)'!Q86</f>
        <v>0</v>
      </c>
      <c r="R86" s="6">
        <f>'IS (Bull-Case)'!R86-'IS (Base-Case)'!R86</f>
        <v>0</v>
      </c>
      <c r="S86" s="114">
        <f>'IS (Bull-Case)'!S86-'IS (Base-Case)'!S86</f>
        <v>0</v>
      </c>
      <c r="T86" s="114">
        <f>'IS (Bull-Case)'!T86-'IS (Base-Case)'!T86</f>
        <v>0</v>
      </c>
      <c r="U86" s="114">
        <f>'IS (Bull-Case)'!U86-'IS (Base-Case)'!U86</f>
        <v>0</v>
      </c>
      <c r="V86" s="62">
        <f>'IS (Bull-Case)'!V86-'IS (Base-Case)'!V86</f>
        <v>0</v>
      </c>
      <c r="W86" s="130">
        <f>'IS (Bull-Case)'!W86-'IS (Base-Case)'!W86</f>
        <v>0</v>
      </c>
      <c r="X86" s="62">
        <f>'IS (Bull-Case)'!X86-'IS (Base-Case)'!X86</f>
        <v>0</v>
      </c>
      <c r="Y86" s="62">
        <f>'IS (Bull-Case)'!Y86-'IS (Base-Case)'!Y86</f>
        <v>0</v>
      </c>
      <c r="Z86" s="62">
        <f>'IS (Bull-Case)'!Z86-'IS (Base-Case)'!Z86</f>
        <v>0</v>
      </c>
      <c r="AA86" s="62">
        <f>'IS (Bull-Case)'!AA86-'IS (Base-Case)'!AA86</f>
        <v>0</v>
      </c>
      <c r="AB86" s="6">
        <f>'IS (Bull-Case)'!AB86-'IS (Base-Case)'!AB86</f>
        <v>0</v>
      </c>
      <c r="AC86" s="62">
        <f>'IS (Bull-Case)'!AC86-'IS (Base-Case)'!AC86</f>
        <v>0</v>
      </c>
      <c r="AD86" s="62">
        <f>'IS (Bull-Case)'!AD86-'IS (Base-Case)'!AD86</f>
        <v>0</v>
      </c>
      <c r="AE86" s="62">
        <f>'IS (Bull-Case)'!AE86-'IS (Base-Case)'!AE86</f>
        <v>0</v>
      </c>
      <c r="AF86" s="62">
        <f>'IS (Bull-Case)'!AF86-'IS (Base-Case)'!AF86</f>
        <v>0</v>
      </c>
      <c r="AG86" s="6">
        <f>'IS (Bull-Case)'!AG86-'IS (Base-Case)'!AG86</f>
        <v>0</v>
      </c>
      <c r="AH86" s="62">
        <f>'IS (Bull-Case)'!AH86-'IS (Base-Case)'!AH86</f>
        <v>0</v>
      </c>
      <c r="AI86" s="62">
        <f>'IS (Bull-Case)'!AI86-'IS (Base-Case)'!AI86</f>
        <v>0</v>
      </c>
      <c r="AJ86" s="62">
        <f>'IS (Bull-Case)'!AJ86-'IS (Base-Case)'!AJ86</f>
        <v>0</v>
      </c>
      <c r="AK86" s="62">
        <f>'IS (Bull-Case)'!AK86-'IS (Base-Case)'!AK86</f>
        <v>0</v>
      </c>
      <c r="AL86" s="6">
        <f>'IS (Bull-Case)'!AL86-'IS (Base-Case)'!AL86</f>
        <v>0</v>
      </c>
      <c r="AM86" s="62">
        <f>'IS (Bull-Case)'!AM86-'IS (Base-Case)'!AM86</f>
        <v>0</v>
      </c>
      <c r="AN86" s="62">
        <f>'IS (Bull-Case)'!AN86-'IS (Base-Case)'!AN86</f>
        <v>0</v>
      </c>
      <c r="AO86" s="62">
        <f>'IS (Bull-Case)'!AO86-'IS (Base-Case)'!AO86</f>
        <v>0</v>
      </c>
      <c r="AP86" s="62">
        <f>'IS (Bull-Case)'!AP86-'IS (Base-Case)'!AP86</f>
        <v>0</v>
      </c>
      <c r="AQ86" s="6">
        <f>'IS (Bull-Case)'!AQ86-'IS (Base-Case)'!AQ86</f>
        <v>0</v>
      </c>
      <c r="AR86" s="62">
        <f>'IS (Bull-Case)'!AR86-'IS (Base-Case)'!AR86</f>
        <v>0</v>
      </c>
      <c r="AS86" s="62">
        <f>'IS (Bull-Case)'!AS86-'IS (Base-Case)'!AS86</f>
        <v>0</v>
      </c>
      <c r="AT86" s="62">
        <f>'IS (Bull-Case)'!AT86-'IS (Base-Case)'!AT86</f>
        <v>0</v>
      </c>
      <c r="AU86" s="62">
        <f>'IS (Bull-Case)'!AU86-'IS (Base-Case)'!AU86</f>
        <v>0</v>
      </c>
      <c r="AV86" s="6">
        <f>'IS (Bull-Case)'!AV86-'IS (Base-Case)'!AV86</f>
        <v>0</v>
      </c>
    </row>
    <row r="87" spans="1:48" s="8" customFormat="1" outlineLevel="1" x14ac:dyDescent="0.3">
      <c r="B87" s="453" t="s">
        <v>118</v>
      </c>
      <c r="C87" s="454"/>
      <c r="D87" s="115">
        <f>'IS (Bull-Case)'!D87-'IS (Base-Case)'!D87</f>
        <v>0</v>
      </c>
      <c r="E87" s="115">
        <f>'IS (Bull-Case)'!E87-'IS (Base-Case)'!E87</f>
        <v>0</v>
      </c>
      <c r="F87" s="115">
        <f>'IS (Bull-Case)'!F87-'IS (Base-Case)'!F87</f>
        <v>0</v>
      </c>
      <c r="G87" s="115">
        <f>'IS (Bull-Case)'!G87-'IS (Base-Case)'!G87</f>
        <v>0</v>
      </c>
      <c r="H87" s="73">
        <f>'IS (Bull-Case)'!H87-'IS (Base-Case)'!H87</f>
        <v>0</v>
      </c>
      <c r="I87" s="115">
        <f>'IS (Bull-Case)'!I87-'IS (Base-Case)'!I87</f>
        <v>0</v>
      </c>
      <c r="J87" s="115">
        <f>'IS (Bull-Case)'!J87-'IS (Base-Case)'!J87</f>
        <v>0</v>
      </c>
      <c r="K87" s="115">
        <f>'IS (Bull-Case)'!K87-'IS (Base-Case)'!K87</f>
        <v>0</v>
      </c>
      <c r="L87" s="72">
        <f>'IS (Bull-Case)'!L87-'IS (Base-Case)'!L87</f>
        <v>0</v>
      </c>
      <c r="M87" s="73">
        <f>'IS (Bull-Case)'!M87-'IS (Base-Case)'!M87</f>
        <v>0</v>
      </c>
      <c r="N87" s="72">
        <f>'IS (Bull-Case)'!N87-'IS (Base-Case)'!N87</f>
        <v>0</v>
      </c>
      <c r="O87" s="72">
        <f>'IS (Bull-Case)'!O87-'IS (Base-Case)'!O87</f>
        <v>0</v>
      </c>
      <c r="P87" s="72">
        <f>'IS (Bull-Case)'!P87-'IS (Base-Case)'!P87</f>
        <v>0</v>
      </c>
      <c r="Q87" s="115">
        <f>'IS (Bull-Case)'!Q87-'IS (Base-Case)'!Q87</f>
        <v>0</v>
      </c>
      <c r="R87" s="73">
        <f>'IS (Bull-Case)'!R87-'IS (Base-Case)'!R87</f>
        <v>0</v>
      </c>
      <c r="S87" s="72">
        <f>'IS (Bull-Case)'!S87-'IS (Base-Case)'!S87</f>
        <v>0</v>
      </c>
      <c r="T87" s="72">
        <f>'IS (Bull-Case)'!T87-'IS (Base-Case)'!T87</f>
        <v>0</v>
      </c>
      <c r="U87" s="72">
        <f>'IS (Bull-Case)'!U87-'IS (Base-Case)'!U87</f>
        <v>0</v>
      </c>
      <c r="V87" s="72">
        <f>'IS (Bull-Case)'!V87-'IS (Base-Case)'!V87</f>
        <v>0</v>
      </c>
      <c r="W87" s="213">
        <f>'IS (Bull-Case)'!W87-'IS (Base-Case)'!W87</f>
        <v>0</v>
      </c>
      <c r="X87" s="72">
        <f>'IS (Bull-Case)'!X87-'IS (Base-Case)'!X87</f>
        <v>0</v>
      </c>
      <c r="Y87" s="72">
        <f>'IS (Bull-Case)'!Y87-'IS (Base-Case)'!Y87</f>
        <v>0</v>
      </c>
      <c r="Z87" s="72">
        <f>'IS (Bull-Case)'!Z87-'IS (Base-Case)'!Z87</f>
        <v>0</v>
      </c>
      <c r="AA87" s="72">
        <f>'IS (Bull-Case)'!AA87-'IS (Base-Case)'!AA87</f>
        <v>0</v>
      </c>
      <c r="AB87" s="73">
        <f>'IS (Bull-Case)'!AB87-'IS (Base-Case)'!AB87</f>
        <v>0</v>
      </c>
      <c r="AC87" s="72">
        <f>'IS (Bull-Case)'!AC87-'IS (Base-Case)'!AC87</f>
        <v>0</v>
      </c>
      <c r="AD87" s="72">
        <f>'IS (Bull-Case)'!AD87-'IS (Base-Case)'!AD87</f>
        <v>0</v>
      </c>
      <c r="AE87" s="72">
        <f>'IS (Bull-Case)'!AE87-'IS (Base-Case)'!AE87</f>
        <v>0</v>
      </c>
      <c r="AF87" s="72">
        <f>'IS (Bull-Case)'!AF87-'IS (Base-Case)'!AF87</f>
        <v>0</v>
      </c>
      <c r="AG87" s="73">
        <f>'IS (Bull-Case)'!AG87-'IS (Base-Case)'!AG87</f>
        <v>0</v>
      </c>
      <c r="AH87" s="72">
        <f>'IS (Bull-Case)'!AH87-'IS (Base-Case)'!AH87</f>
        <v>0</v>
      </c>
      <c r="AI87" s="72">
        <f>'IS (Bull-Case)'!AI87-'IS (Base-Case)'!AI87</f>
        <v>0</v>
      </c>
      <c r="AJ87" s="72">
        <f>'IS (Bull-Case)'!AJ87-'IS (Base-Case)'!AJ87</f>
        <v>0</v>
      </c>
      <c r="AK87" s="72">
        <f>'IS (Bull-Case)'!AK87-'IS (Base-Case)'!AK87</f>
        <v>0</v>
      </c>
      <c r="AL87" s="73">
        <f>'IS (Bull-Case)'!AL87-'IS (Base-Case)'!AL87</f>
        <v>0</v>
      </c>
      <c r="AM87" s="72">
        <f>'IS (Bull-Case)'!AM87-'IS (Base-Case)'!AM87</f>
        <v>0</v>
      </c>
      <c r="AN87" s="72">
        <f>'IS (Bull-Case)'!AN87-'IS (Base-Case)'!AN87</f>
        <v>0</v>
      </c>
      <c r="AO87" s="72">
        <f>'IS (Bull-Case)'!AO87-'IS (Base-Case)'!AO87</f>
        <v>0</v>
      </c>
      <c r="AP87" s="72">
        <f>'IS (Bull-Case)'!AP87-'IS (Base-Case)'!AP87</f>
        <v>0</v>
      </c>
      <c r="AQ87" s="73">
        <f>'IS (Bull-Case)'!AQ87-'IS (Base-Case)'!AQ87</f>
        <v>0</v>
      </c>
      <c r="AR87" s="72">
        <f>'IS (Bull-Case)'!AR87-'IS (Base-Case)'!AR87</f>
        <v>0</v>
      </c>
      <c r="AS87" s="72">
        <f>'IS (Bull-Case)'!AS87-'IS (Base-Case)'!AS87</f>
        <v>0</v>
      </c>
      <c r="AT87" s="72">
        <f>'IS (Bull-Case)'!AT87-'IS (Base-Case)'!AT87</f>
        <v>0</v>
      </c>
      <c r="AU87" s="72">
        <f>'IS (Bull-Case)'!AU87-'IS (Base-Case)'!AU87</f>
        <v>0</v>
      </c>
      <c r="AV87" s="73">
        <f>'IS (Bull-Case)'!AV87-'IS (Base-Case)'!AV87</f>
        <v>0</v>
      </c>
    </row>
    <row r="88" spans="1:48" s="8" customFormat="1" outlineLevel="1" x14ac:dyDescent="0.3">
      <c r="B88" s="445" t="s">
        <v>119</v>
      </c>
      <c r="C88" s="446"/>
      <c r="D88" s="103">
        <f>'IS (Bull-Case)'!D88-'IS (Base-Case)'!D88</f>
        <v>0</v>
      </c>
      <c r="E88" s="103">
        <f>'IS (Bull-Case)'!E88-'IS (Base-Case)'!E88</f>
        <v>0</v>
      </c>
      <c r="F88" s="103">
        <f>'IS (Bull-Case)'!F88-'IS (Base-Case)'!F88</f>
        <v>0</v>
      </c>
      <c r="G88" s="103">
        <f>'IS (Bull-Case)'!G88-'IS (Base-Case)'!G88</f>
        <v>0</v>
      </c>
      <c r="H88" s="97">
        <f>'IS (Bull-Case)'!H88-'IS (Base-Case)'!H88</f>
        <v>0</v>
      </c>
      <c r="I88" s="103">
        <f>'IS (Bull-Case)'!I88-'IS (Base-Case)'!I88</f>
        <v>0</v>
      </c>
      <c r="J88" s="103">
        <f>'IS (Bull-Case)'!J88-'IS (Base-Case)'!J88</f>
        <v>0</v>
      </c>
      <c r="K88" s="103">
        <f>'IS (Bull-Case)'!K88-'IS (Base-Case)'!K88</f>
        <v>0</v>
      </c>
      <c r="L88" s="50">
        <f>'IS (Bull-Case)'!L88-'IS (Base-Case)'!L88</f>
        <v>0</v>
      </c>
      <c r="M88" s="97">
        <f>'IS (Bull-Case)'!M88-'IS (Base-Case)'!M88</f>
        <v>0</v>
      </c>
      <c r="N88" s="50">
        <f>'IS (Bull-Case)'!N88-'IS (Base-Case)'!N88</f>
        <v>0</v>
      </c>
      <c r="O88" s="50">
        <f>'IS (Bull-Case)'!O88-'IS (Base-Case)'!O88</f>
        <v>0</v>
      </c>
      <c r="P88" s="50">
        <f>'IS (Bull-Case)'!P88-'IS (Base-Case)'!P88</f>
        <v>0</v>
      </c>
      <c r="Q88" s="103">
        <f>'IS (Bull-Case)'!Q88-'IS (Base-Case)'!Q88</f>
        <v>0</v>
      </c>
      <c r="R88" s="97">
        <f>'IS (Bull-Case)'!R88-'IS (Base-Case)'!R88</f>
        <v>0</v>
      </c>
      <c r="S88" s="50">
        <f>'IS (Bull-Case)'!S88-'IS (Base-Case)'!S88</f>
        <v>0</v>
      </c>
      <c r="T88" s="50">
        <f>'IS (Bull-Case)'!T88-'IS (Base-Case)'!T88</f>
        <v>0</v>
      </c>
      <c r="U88" s="50">
        <f>'IS (Bull-Case)'!U88-'IS (Base-Case)'!U88</f>
        <v>0</v>
      </c>
      <c r="V88" s="50">
        <f>'IS (Bull-Case)'!V88-'IS (Base-Case)'!V88</f>
        <v>0</v>
      </c>
      <c r="W88" s="132">
        <f>'IS (Bull-Case)'!W88-'IS (Base-Case)'!W88</f>
        <v>0</v>
      </c>
      <c r="X88" s="50">
        <f>'IS (Bull-Case)'!X88-'IS (Base-Case)'!X88</f>
        <v>0</v>
      </c>
      <c r="Y88" s="50">
        <f>'IS (Bull-Case)'!Y88-'IS (Base-Case)'!Y88</f>
        <v>0</v>
      </c>
      <c r="Z88" s="50">
        <f>'IS (Bull-Case)'!Z88-'IS (Base-Case)'!Z88</f>
        <v>0</v>
      </c>
      <c r="AA88" s="50">
        <f>'IS (Bull-Case)'!AA88-'IS (Base-Case)'!AA88</f>
        <v>0</v>
      </c>
      <c r="AB88" s="97">
        <f>'IS (Bull-Case)'!AB88-'IS (Base-Case)'!AB88</f>
        <v>0</v>
      </c>
      <c r="AC88" s="50">
        <f>'IS (Bull-Case)'!AC88-'IS (Base-Case)'!AC88</f>
        <v>0</v>
      </c>
      <c r="AD88" s="50">
        <f>'IS (Bull-Case)'!AD88-'IS (Base-Case)'!AD88</f>
        <v>0</v>
      </c>
      <c r="AE88" s="50">
        <f>'IS (Bull-Case)'!AE88-'IS (Base-Case)'!AE88</f>
        <v>0</v>
      </c>
      <c r="AF88" s="50">
        <f>'IS (Bull-Case)'!AF88-'IS (Base-Case)'!AF88</f>
        <v>0</v>
      </c>
      <c r="AG88" s="97">
        <f>'IS (Bull-Case)'!AG88-'IS (Base-Case)'!AG88</f>
        <v>0</v>
      </c>
      <c r="AH88" s="50">
        <f>'IS (Bull-Case)'!AH88-'IS (Base-Case)'!AH88</f>
        <v>0</v>
      </c>
      <c r="AI88" s="50">
        <f>'IS (Bull-Case)'!AI88-'IS (Base-Case)'!AI88</f>
        <v>0</v>
      </c>
      <c r="AJ88" s="50">
        <f>'IS (Bull-Case)'!AJ88-'IS (Base-Case)'!AJ88</f>
        <v>0</v>
      </c>
      <c r="AK88" s="50">
        <f>'IS (Bull-Case)'!AK88-'IS (Base-Case)'!AK88</f>
        <v>0</v>
      </c>
      <c r="AL88" s="97">
        <f>'IS (Bull-Case)'!AL88-'IS (Base-Case)'!AL88</f>
        <v>0</v>
      </c>
      <c r="AM88" s="50">
        <f>'IS (Bull-Case)'!AM88-'IS (Base-Case)'!AM88</f>
        <v>0</v>
      </c>
      <c r="AN88" s="50">
        <f>'IS (Bull-Case)'!AN88-'IS (Base-Case)'!AN88</f>
        <v>0</v>
      </c>
      <c r="AO88" s="50">
        <f>'IS (Bull-Case)'!AO88-'IS (Base-Case)'!AO88</f>
        <v>0</v>
      </c>
      <c r="AP88" s="50">
        <f>'IS (Bull-Case)'!AP88-'IS (Base-Case)'!AP88</f>
        <v>0</v>
      </c>
      <c r="AQ88" s="97">
        <f>'IS (Bull-Case)'!AQ88-'IS (Base-Case)'!AQ88</f>
        <v>0</v>
      </c>
      <c r="AR88" s="50">
        <f>'IS (Bull-Case)'!AR88-'IS (Base-Case)'!AR88</f>
        <v>0</v>
      </c>
      <c r="AS88" s="50">
        <f>'IS (Bull-Case)'!AS88-'IS (Base-Case)'!AS88</f>
        <v>0</v>
      </c>
      <c r="AT88" s="50">
        <f>'IS (Bull-Case)'!AT88-'IS (Base-Case)'!AT88</f>
        <v>0</v>
      </c>
      <c r="AU88" s="50">
        <f>'IS (Bull-Case)'!AU88-'IS (Base-Case)'!AU88</f>
        <v>0</v>
      </c>
      <c r="AV88" s="97">
        <f>'IS (Bull-Case)'!AV88-'IS (Base-Case)'!AV88</f>
        <v>0</v>
      </c>
    </row>
    <row r="89" spans="1:48" outlineLevel="1" x14ac:dyDescent="0.3">
      <c r="B89" s="69" t="s">
        <v>50</v>
      </c>
      <c r="C89" s="70"/>
      <c r="D89" s="120">
        <f>'IS (Bull-Case)'!D89-'IS (Base-Case)'!D89</f>
        <v>0</v>
      </c>
      <c r="E89" s="120">
        <f>'IS (Bull-Case)'!E89-'IS (Base-Case)'!E89</f>
        <v>0</v>
      </c>
      <c r="F89" s="120">
        <f>'IS (Bull-Case)'!F89-'IS (Base-Case)'!F89</f>
        <v>0</v>
      </c>
      <c r="G89" s="120">
        <f>'IS (Bull-Case)'!G89-'IS (Base-Case)'!G89</f>
        <v>0</v>
      </c>
      <c r="H89" s="58">
        <f>'IS (Bull-Case)'!H89-'IS (Base-Case)'!H89</f>
        <v>0</v>
      </c>
      <c r="I89" s="120">
        <f>'IS (Bull-Case)'!I89-'IS (Base-Case)'!I89</f>
        <v>0</v>
      </c>
      <c r="J89" s="120">
        <f>'IS (Bull-Case)'!J89-'IS (Base-Case)'!J89</f>
        <v>0</v>
      </c>
      <c r="K89" s="120">
        <f>'IS (Bull-Case)'!K89-'IS (Base-Case)'!K89</f>
        <v>0</v>
      </c>
      <c r="L89" s="120">
        <f>'IS (Bull-Case)'!L89-'IS (Base-Case)'!L89</f>
        <v>0</v>
      </c>
      <c r="M89" s="58">
        <f>'IS (Bull-Case)'!M89-'IS (Base-Case)'!M89</f>
        <v>0</v>
      </c>
      <c r="N89" s="120">
        <f>'IS (Bull-Case)'!N89-'IS (Base-Case)'!N89</f>
        <v>0</v>
      </c>
      <c r="O89" s="120">
        <f>'IS (Bull-Case)'!O89-'IS (Base-Case)'!O89</f>
        <v>0</v>
      </c>
      <c r="P89" s="120">
        <f>'IS (Bull-Case)'!P89-'IS (Base-Case)'!P89</f>
        <v>0</v>
      </c>
      <c r="Q89" s="120">
        <f>'IS (Bull-Case)'!Q89-'IS (Base-Case)'!Q89</f>
        <v>0</v>
      </c>
      <c r="R89" s="58">
        <f>'IS (Bull-Case)'!R89-'IS (Base-Case)'!R89</f>
        <v>0</v>
      </c>
      <c r="S89" s="120">
        <f>'IS (Bull-Case)'!S89-'IS (Base-Case)'!S89</f>
        <v>0</v>
      </c>
      <c r="T89" s="120">
        <f>'IS (Bull-Case)'!T89-'IS (Base-Case)'!T89</f>
        <v>0</v>
      </c>
      <c r="U89" s="120">
        <f>'IS (Bull-Case)'!U89-'IS (Base-Case)'!U89</f>
        <v>0</v>
      </c>
      <c r="V89" s="71">
        <f>'IS (Bull-Case)'!V89-'IS (Base-Case)'!V89</f>
        <v>0</v>
      </c>
      <c r="W89" s="155">
        <f>'IS (Bull-Case)'!W89-'IS (Base-Case)'!W89</f>
        <v>0</v>
      </c>
      <c r="X89" s="71">
        <f>'IS (Bull-Case)'!X89-'IS (Base-Case)'!X89</f>
        <v>0</v>
      </c>
      <c r="Y89" s="71">
        <f>'IS (Bull-Case)'!Y89-'IS (Base-Case)'!Y89</f>
        <v>0</v>
      </c>
      <c r="Z89" s="71">
        <f>'IS (Bull-Case)'!Z89-'IS (Base-Case)'!Z89</f>
        <v>0</v>
      </c>
      <c r="AA89" s="71">
        <f>'IS (Bull-Case)'!AA89-'IS (Base-Case)'!AA89</f>
        <v>0</v>
      </c>
      <c r="AB89" s="58">
        <f>'IS (Bull-Case)'!AB89-'IS (Base-Case)'!AB89</f>
        <v>0</v>
      </c>
      <c r="AC89" s="71">
        <f>'IS (Bull-Case)'!AC89-'IS (Base-Case)'!AC89</f>
        <v>0</v>
      </c>
      <c r="AD89" s="71">
        <f>'IS (Bull-Case)'!AD89-'IS (Base-Case)'!AD89</f>
        <v>0</v>
      </c>
      <c r="AE89" s="71">
        <f>'IS (Bull-Case)'!AE89-'IS (Base-Case)'!AE89</f>
        <v>0</v>
      </c>
      <c r="AF89" s="71">
        <f>'IS (Bull-Case)'!AF89-'IS (Base-Case)'!AF89</f>
        <v>0</v>
      </c>
      <c r="AG89" s="58">
        <f>'IS (Bull-Case)'!AG89-'IS (Base-Case)'!AG89</f>
        <v>0</v>
      </c>
      <c r="AH89" s="71">
        <f>'IS (Bull-Case)'!AH89-'IS (Base-Case)'!AH89</f>
        <v>0</v>
      </c>
      <c r="AI89" s="71">
        <f>'IS (Bull-Case)'!AI89-'IS (Base-Case)'!AI89</f>
        <v>0</v>
      </c>
      <c r="AJ89" s="71">
        <f>'IS (Bull-Case)'!AJ89-'IS (Base-Case)'!AJ89</f>
        <v>0</v>
      </c>
      <c r="AK89" s="71">
        <f>'IS (Bull-Case)'!AK89-'IS (Base-Case)'!AK89</f>
        <v>0</v>
      </c>
      <c r="AL89" s="58">
        <f>'IS (Bull-Case)'!AL89-'IS (Base-Case)'!AL89</f>
        <v>0</v>
      </c>
      <c r="AM89" s="71">
        <f>'IS (Bull-Case)'!AM89-'IS (Base-Case)'!AM89</f>
        <v>0</v>
      </c>
      <c r="AN89" s="71">
        <f>'IS (Bull-Case)'!AN89-'IS (Base-Case)'!AN89</f>
        <v>0</v>
      </c>
      <c r="AO89" s="71">
        <f>'IS (Bull-Case)'!AO89-'IS (Base-Case)'!AO89</f>
        <v>0</v>
      </c>
      <c r="AP89" s="71">
        <f>'IS (Bull-Case)'!AP89-'IS (Base-Case)'!AP89</f>
        <v>0</v>
      </c>
      <c r="AQ89" s="58">
        <f>'IS (Bull-Case)'!AQ89-'IS (Base-Case)'!AQ89</f>
        <v>0</v>
      </c>
      <c r="AR89" s="71">
        <f>'IS (Bull-Case)'!AR89-'IS (Base-Case)'!AR89</f>
        <v>0</v>
      </c>
      <c r="AS89" s="71">
        <f>'IS (Bull-Case)'!AS89-'IS (Base-Case)'!AS89</f>
        <v>0</v>
      </c>
      <c r="AT89" s="71">
        <f>'IS (Bull-Case)'!AT89-'IS (Base-Case)'!AT89</f>
        <v>0</v>
      </c>
      <c r="AU89" s="71">
        <f>'IS (Bull-Case)'!AU89-'IS (Base-Case)'!AU89</f>
        <v>0</v>
      </c>
      <c r="AV89" s="58">
        <f>'IS (Bull-Case)'!AV89-'IS (Base-Case)'!AV89</f>
        <v>0</v>
      </c>
    </row>
    <row r="90" spans="1:48" outlineLevel="1" x14ac:dyDescent="0.3">
      <c r="B90" s="180" t="s">
        <v>120</v>
      </c>
      <c r="C90" s="207"/>
      <c r="D90" s="101">
        <f>'IS (Bull-Case)'!D90-'IS (Base-Case)'!D90</f>
        <v>0</v>
      </c>
      <c r="E90" s="101">
        <f>'IS (Bull-Case)'!E90-'IS (Base-Case)'!E90</f>
        <v>0</v>
      </c>
      <c r="F90" s="101">
        <f>'IS (Bull-Case)'!F90-'IS (Base-Case)'!F90</f>
        <v>0</v>
      </c>
      <c r="G90" s="101">
        <f>'IS (Bull-Case)'!G90-'IS (Base-Case)'!G90</f>
        <v>0</v>
      </c>
      <c r="H90" s="6">
        <f>'IS (Bull-Case)'!H90-'IS (Base-Case)'!H90</f>
        <v>0</v>
      </c>
      <c r="I90" s="101">
        <f>'IS (Bull-Case)'!I90-'IS (Base-Case)'!I90</f>
        <v>0</v>
      </c>
      <c r="J90" s="101">
        <f>'IS (Bull-Case)'!J90-'IS (Base-Case)'!J90</f>
        <v>0</v>
      </c>
      <c r="K90" s="101">
        <f>'IS (Bull-Case)'!K90-'IS (Base-Case)'!K90</f>
        <v>0</v>
      </c>
      <c r="L90" s="16">
        <f>'IS (Bull-Case)'!L90-'IS (Base-Case)'!L90</f>
        <v>0</v>
      </c>
      <c r="M90" s="6">
        <f>'IS (Bull-Case)'!M90-'IS (Base-Case)'!M90</f>
        <v>0</v>
      </c>
      <c r="N90" s="16">
        <f>'IS (Bull-Case)'!N90-'IS (Base-Case)'!N90</f>
        <v>0</v>
      </c>
      <c r="O90" s="16">
        <f>'IS (Bull-Case)'!O90-'IS (Base-Case)'!O90</f>
        <v>0</v>
      </c>
      <c r="P90" s="16">
        <f>'IS (Bull-Case)'!P90-'IS (Base-Case)'!P90</f>
        <v>0</v>
      </c>
      <c r="Q90" s="16">
        <f>'IS (Bull-Case)'!Q90-'IS (Base-Case)'!Q90</f>
        <v>0</v>
      </c>
      <c r="R90" s="6">
        <f>'IS (Bull-Case)'!R90-'IS (Base-Case)'!R90</f>
        <v>0</v>
      </c>
      <c r="S90" s="16">
        <f>'IS (Bull-Case)'!S90-'IS (Base-Case)'!S90</f>
        <v>0</v>
      </c>
      <c r="T90" s="16">
        <f>'IS (Bull-Case)'!T90-'IS (Base-Case)'!T90</f>
        <v>0</v>
      </c>
      <c r="U90" s="16">
        <f>'IS (Bull-Case)'!U90-'IS (Base-Case)'!U90</f>
        <v>0</v>
      </c>
      <c r="V90" s="16">
        <f>'IS (Bull-Case)'!V90-'IS (Base-Case)'!V90</f>
        <v>0</v>
      </c>
      <c r="W90" s="254">
        <f>'IS (Bull-Case)'!W90-'IS (Base-Case)'!W90</f>
        <v>0</v>
      </c>
      <c r="X90" s="16">
        <f>'IS (Bull-Case)'!X90-'IS (Base-Case)'!X90</f>
        <v>0</v>
      </c>
      <c r="Y90" s="16">
        <f>'IS (Bull-Case)'!Y90-'IS (Base-Case)'!Y90</f>
        <v>0</v>
      </c>
      <c r="Z90" s="16">
        <f>'IS (Bull-Case)'!Z90-'IS (Base-Case)'!Z90</f>
        <v>0</v>
      </c>
      <c r="AA90" s="16">
        <f>'IS (Bull-Case)'!AA90-'IS (Base-Case)'!AA90</f>
        <v>0</v>
      </c>
      <c r="AB90" s="254">
        <f>'IS (Bull-Case)'!AB90-'IS (Base-Case)'!AB90</f>
        <v>0</v>
      </c>
      <c r="AC90" s="16">
        <f>'IS (Bull-Case)'!AC90-'IS (Base-Case)'!AC90</f>
        <v>0</v>
      </c>
      <c r="AD90" s="16">
        <f>'IS (Bull-Case)'!AD90-'IS (Base-Case)'!AD90</f>
        <v>0</v>
      </c>
      <c r="AE90" s="16">
        <f>'IS (Bull-Case)'!AE90-'IS (Base-Case)'!AE90</f>
        <v>0</v>
      </c>
      <c r="AF90" s="16">
        <f>'IS (Bull-Case)'!AF90-'IS (Base-Case)'!AF90</f>
        <v>0</v>
      </c>
      <c r="AG90" s="254">
        <f>'IS (Bull-Case)'!AG90-'IS (Base-Case)'!AG90</f>
        <v>0</v>
      </c>
      <c r="AH90" s="16">
        <f>'IS (Bull-Case)'!AH90-'IS (Base-Case)'!AH90</f>
        <v>0</v>
      </c>
      <c r="AI90" s="16">
        <f>'IS (Bull-Case)'!AI90-'IS (Base-Case)'!AI90</f>
        <v>0</v>
      </c>
      <c r="AJ90" s="16">
        <f>'IS (Bull-Case)'!AJ90-'IS (Base-Case)'!AJ90</f>
        <v>0</v>
      </c>
      <c r="AK90" s="16">
        <f>'IS (Bull-Case)'!AK90-'IS (Base-Case)'!AK90</f>
        <v>0</v>
      </c>
      <c r="AL90" s="254">
        <f>'IS (Bull-Case)'!AL90-'IS (Base-Case)'!AL90</f>
        <v>0</v>
      </c>
      <c r="AM90" s="16">
        <f>'IS (Bull-Case)'!AM90-'IS (Base-Case)'!AM90</f>
        <v>0</v>
      </c>
      <c r="AN90" s="16">
        <f>'IS (Bull-Case)'!AN90-'IS (Base-Case)'!AN90</f>
        <v>0</v>
      </c>
      <c r="AO90" s="16">
        <f>'IS (Bull-Case)'!AO90-'IS (Base-Case)'!AO90</f>
        <v>0</v>
      </c>
      <c r="AP90" s="16">
        <f>'IS (Bull-Case)'!AP90-'IS (Base-Case)'!AP90</f>
        <v>0</v>
      </c>
      <c r="AQ90" s="254">
        <f>'IS (Bull-Case)'!AQ90-'IS (Base-Case)'!AQ90</f>
        <v>0</v>
      </c>
      <c r="AR90" s="16">
        <f>'IS (Bull-Case)'!AR90-'IS (Base-Case)'!AR90</f>
        <v>0</v>
      </c>
      <c r="AS90" s="16">
        <f>'IS (Bull-Case)'!AS90-'IS (Base-Case)'!AS90</f>
        <v>0</v>
      </c>
      <c r="AT90" s="16">
        <f>'IS (Bull-Case)'!AT90-'IS (Base-Case)'!AT90</f>
        <v>0</v>
      </c>
      <c r="AU90" s="16">
        <f>'IS (Bull-Case)'!AU90-'IS (Base-Case)'!AU90</f>
        <v>0</v>
      </c>
      <c r="AV90" s="254">
        <f>'IS (Bull-Case)'!AV90-'IS (Base-Case)'!AV90</f>
        <v>0</v>
      </c>
    </row>
    <row r="91" spans="1:48" outlineLevel="1" x14ac:dyDescent="0.3">
      <c r="B91" s="180" t="s">
        <v>121</v>
      </c>
      <c r="C91" s="207"/>
      <c r="D91" s="101">
        <f>'IS (Bull-Case)'!D91-'IS (Base-Case)'!D91</f>
        <v>0</v>
      </c>
      <c r="E91" s="101">
        <f>'IS (Bull-Case)'!E91-'IS (Base-Case)'!E91</f>
        <v>0</v>
      </c>
      <c r="F91" s="101">
        <f>'IS (Bull-Case)'!F91-'IS (Base-Case)'!F91</f>
        <v>0</v>
      </c>
      <c r="G91" s="101">
        <f>'IS (Bull-Case)'!G91-'IS (Base-Case)'!G91</f>
        <v>0</v>
      </c>
      <c r="H91" s="122">
        <f>'IS (Bull-Case)'!H91-'IS (Base-Case)'!H91</f>
        <v>0</v>
      </c>
      <c r="I91" s="101">
        <f>'IS (Bull-Case)'!I91-'IS (Base-Case)'!I91</f>
        <v>0</v>
      </c>
      <c r="J91" s="101">
        <f>'IS (Bull-Case)'!J91-'IS (Base-Case)'!J91</f>
        <v>0</v>
      </c>
      <c r="K91" s="101">
        <f>'IS (Bull-Case)'!K91-'IS (Base-Case)'!K91</f>
        <v>0</v>
      </c>
      <c r="L91" s="101">
        <f>'IS (Bull-Case)'!L91-'IS (Base-Case)'!L91</f>
        <v>0</v>
      </c>
      <c r="M91" s="122">
        <f>'IS (Bull-Case)'!M91-'IS (Base-Case)'!M91</f>
        <v>0</v>
      </c>
      <c r="N91" s="101">
        <f>'IS (Bull-Case)'!N91-'IS (Base-Case)'!N91</f>
        <v>0</v>
      </c>
      <c r="O91" s="101">
        <f>'IS (Bull-Case)'!O91-'IS (Base-Case)'!O91</f>
        <v>0</v>
      </c>
      <c r="P91" s="101">
        <f>'IS (Bull-Case)'!P91-'IS (Base-Case)'!P91</f>
        <v>0</v>
      </c>
      <c r="Q91" s="101">
        <f>'IS (Bull-Case)'!Q91-'IS (Base-Case)'!Q91</f>
        <v>0</v>
      </c>
      <c r="R91" s="122">
        <f>'IS (Bull-Case)'!R91-'IS (Base-Case)'!R91</f>
        <v>0</v>
      </c>
      <c r="S91" s="16">
        <f>'IS (Bull-Case)'!S91-'IS (Base-Case)'!S91</f>
        <v>0</v>
      </c>
      <c r="T91" s="16">
        <f>'IS (Bull-Case)'!T91-'IS (Base-Case)'!T91</f>
        <v>0</v>
      </c>
      <c r="U91" s="16">
        <f>'IS (Bull-Case)'!U91-'IS (Base-Case)'!U91</f>
        <v>0</v>
      </c>
      <c r="V91" s="16">
        <f>'IS (Bull-Case)'!V91-'IS (Base-Case)'!V91</f>
        <v>0</v>
      </c>
      <c r="W91" s="122">
        <f>'IS (Bull-Case)'!W91-'IS (Base-Case)'!W91</f>
        <v>0</v>
      </c>
      <c r="X91" s="16">
        <f>'IS (Bull-Case)'!X91-'IS (Base-Case)'!X91</f>
        <v>0</v>
      </c>
      <c r="Y91" s="16">
        <f>'IS (Bull-Case)'!Y91-'IS (Base-Case)'!Y91</f>
        <v>0</v>
      </c>
      <c r="Z91" s="16">
        <f>'IS (Bull-Case)'!Z91-'IS (Base-Case)'!Z91</f>
        <v>0</v>
      </c>
      <c r="AA91" s="16">
        <f>'IS (Bull-Case)'!AA91-'IS (Base-Case)'!AA91</f>
        <v>0</v>
      </c>
      <c r="AB91" s="26">
        <f>'IS (Bull-Case)'!AB91-'IS (Base-Case)'!AB91</f>
        <v>0</v>
      </c>
      <c r="AC91" s="16">
        <f>'IS (Bull-Case)'!AC91-'IS (Base-Case)'!AC91</f>
        <v>0</v>
      </c>
      <c r="AD91" s="16">
        <f>'IS (Bull-Case)'!AD91-'IS (Base-Case)'!AD91</f>
        <v>0</v>
      </c>
      <c r="AE91" s="16">
        <f>'IS (Bull-Case)'!AE91-'IS (Base-Case)'!AE91</f>
        <v>0</v>
      </c>
      <c r="AF91" s="16">
        <f>'IS (Bull-Case)'!AF91-'IS (Base-Case)'!AF91</f>
        <v>0</v>
      </c>
      <c r="AG91" s="26">
        <f>'IS (Bull-Case)'!AG91-'IS (Base-Case)'!AG91</f>
        <v>0</v>
      </c>
      <c r="AH91" s="16">
        <f>'IS (Bull-Case)'!AH91-'IS (Base-Case)'!AH91</f>
        <v>0</v>
      </c>
      <c r="AI91" s="16">
        <f>'IS (Bull-Case)'!AI91-'IS (Base-Case)'!AI91</f>
        <v>0</v>
      </c>
      <c r="AJ91" s="16">
        <f>'IS (Bull-Case)'!AJ91-'IS (Base-Case)'!AJ91</f>
        <v>0</v>
      </c>
      <c r="AK91" s="16">
        <f>'IS (Bull-Case)'!AK91-'IS (Base-Case)'!AK91</f>
        <v>0</v>
      </c>
      <c r="AL91" s="26">
        <f>'IS (Bull-Case)'!AL91-'IS (Base-Case)'!AL91</f>
        <v>0</v>
      </c>
      <c r="AM91" s="16">
        <f>'IS (Bull-Case)'!AM91-'IS (Base-Case)'!AM91</f>
        <v>0</v>
      </c>
      <c r="AN91" s="16">
        <f>'IS (Bull-Case)'!AN91-'IS (Base-Case)'!AN91</f>
        <v>0</v>
      </c>
      <c r="AO91" s="16">
        <f>'IS (Bull-Case)'!AO91-'IS (Base-Case)'!AO91</f>
        <v>0</v>
      </c>
      <c r="AP91" s="16">
        <f>'IS (Bull-Case)'!AP91-'IS (Base-Case)'!AP91</f>
        <v>0</v>
      </c>
      <c r="AQ91" s="26">
        <f>'IS (Bull-Case)'!AQ91-'IS (Base-Case)'!AQ91</f>
        <v>0</v>
      </c>
      <c r="AR91" s="16">
        <f>'IS (Bull-Case)'!AR91-'IS (Base-Case)'!AR91</f>
        <v>0</v>
      </c>
      <c r="AS91" s="16">
        <f>'IS (Bull-Case)'!AS91-'IS (Base-Case)'!AS91</f>
        <v>0</v>
      </c>
      <c r="AT91" s="16">
        <f>'IS (Bull-Case)'!AT91-'IS (Base-Case)'!AT91</f>
        <v>0</v>
      </c>
      <c r="AU91" s="16">
        <f>'IS (Bull-Case)'!AU91-'IS (Base-Case)'!AU91</f>
        <v>0</v>
      </c>
      <c r="AV91" s="26">
        <f>'IS (Bull-Case)'!AV91-'IS (Base-Case)'!AV91</f>
        <v>0</v>
      </c>
    </row>
    <row r="92" spans="1:48" outlineLevel="1" x14ac:dyDescent="0.3">
      <c r="B92" s="449" t="s">
        <v>122</v>
      </c>
      <c r="C92" s="450"/>
      <c r="D92" s="115">
        <f>'IS (Bull-Case)'!D92-'IS (Base-Case)'!D92</f>
        <v>0</v>
      </c>
      <c r="E92" s="115">
        <f>'IS (Bull-Case)'!E92-'IS (Base-Case)'!E92</f>
        <v>0</v>
      </c>
      <c r="F92" s="115">
        <f>'IS (Bull-Case)'!F92-'IS (Base-Case)'!F92</f>
        <v>0</v>
      </c>
      <c r="G92" s="115">
        <f>'IS (Bull-Case)'!G92-'IS (Base-Case)'!G92</f>
        <v>0</v>
      </c>
      <c r="H92" s="213">
        <f>'IS (Bull-Case)'!H92-'IS (Base-Case)'!H92</f>
        <v>0</v>
      </c>
      <c r="I92" s="115">
        <f>'IS (Bull-Case)'!I92-'IS (Base-Case)'!I92</f>
        <v>0</v>
      </c>
      <c r="J92" s="115">
        <f>'IS (Bull-Case)'!J92-'IS (Base-Case)'!J92</f>
        <v>0</v>
      </c>
      <c r="K92" s="115">
        <f>'IS (Bull-Case)'!K92-'IS (Base-Case)'!K92</f>
        <v>0</v>
      </c>
      <c r="L92" s="115">
        <f>'IS (Bull-Case)'!L92-'IS (Base-Case)'!L92</f>
        <v>0</v>
      </c>
      <c r="M92" s="213">
        <f>'IS (Bull-Case)'!M92-'IS (Base-Case)'!M92</f>
        <v>0</v>
      </c>
      <c r="N92" s="115">
        <f>'IS (Bull-Case)'!N92-'IS (Base-Case)'!N92</f>
        <v>0</v>
      </c>
      <c r="O92" s="115">
        <f>'IS (Bull-Case)'!O92-'IS (Base-Case)'!O92</f>
        <v>0</v>
      </c>
      <c r="P92" s="115">
        <f>'IS (Bull-Case)'!P92-'IS (Base-Case)'!P92</f>
        <v>0</v>
      </c>
      <c r="Q92" s="115">
        <f>'IS (Bull-Case)'!Q92-'IS (Base-Case)'!Q92</f>
        <v>0</v>
      </c>
      <c r="R92" s="73">
        <f>'IS (Bull-Case)'!R92-'IS (Base-Case)'!R92</f>
        <v>0</v>
      </c>
      <c r="S92" s="72">
        <f>'IS (Bull-Case)'!S92-'IS (Base-Case)'!S92</f>
        <v>0</v>
      </c>
      <c r="T92" s="72">
        <f>'IS (Bull-Case)'!T92-'IS (Base-Case)'!T92</f>
        <v>0</v>
      </c>
      <c r="U92" s="72">
        <f>'IS (Bull-Case)'!U92-'IS (Base-Case)'!U92</f>
        <v>0</v>
      </c>
      <c r="V92" s="72">
        <f>'IS (Bull-Case)'!V92-'IS (Base-Case)'!V92</f>
        <v>0</v>
      </c>
      <c r="W92" s="213">
        <f>'IS (Bull-Case)'!W92-'IS (Base-Case)'!W92</f>
        <v>0</v>
      </c>
      <c r="X92" s="72">
        <f>'IS (Bull-Case)'!X92-'IS (Base-Case)'!X92</f>
        <v>0</v>
      </c>
      <c r="Y92" s="72">
        <f>'IS (Bull-Case)'!Y92-'IS (Base-Case)'!Y92</f>
        <v>0</v>
      </c>
      <c r="Z92" s="72">
        <f>'IS (Bull-Case)'!Z92-'IS (Base-Case)'!Z92</f>
        <v>0</v>
      </c>
      <c r="AA92" s="72">
        <f>'IS (Bull-Case)'!AA92-'IS (Base-Case)'!AA92</f>
        <v>0</v>
      </c>
      <c r="AB92" s="73">
        <f>'IS (Bull-Case)'!AB92-'IS (Base-Case)'!AB92</f>
        <v>0</v>
      </c>
      <c r="AC92" s="72">
        <f>'IS (Bull-Case)'!AC92-'IS (Base-Case)'!AC92</f>
        <v>0</v>
      </c>
      <c r="AD92" s="72">
        <f>'IS (Bull-Case)'!AD92-'IS (Base-Case)'!AD92</f>
        <v>0</v>
      </c>
      <c r="AE92" s="72">
        <f>'IS (Bull-Case)'!AE92-'IS (Base-Case)'!AE92</f>
        <v>0</v>
      </c>
      <c r="AF92" s="72">
        <f>'IS (Bull-Case)'!AF92-'IS (Base-Case)'!AF92</f>
        <v>0</v>
      </c>
      <c r="AG92" s="73">
        <f>'IS (Bull-Case)'!AG92-'IS (Base-Case)'!AG92</f>
        <v>0</v>
      </c>
      <c r="AH92" s="72">
        <f>'IS (Bull-Case)'!AH92-'IS (Base-Case)'!AH92</f>
        <v>0</v>
      </c>
      <c r="AI92" s="72">
        <f>'IS (Bull-Case)'!AI92-'IS (Base-Case)'!AI92</f>
        <v>0</v>
      </c>
      <c r="AJ92" s="72">
        <f>'IS (Bull-Case)'!AJ92-'IS (Base-Case)'!AJ92</f>
        <v>0</v>
      </c>
      <c r="AK92" s="72">
        <f>'IS (Bull-Case)'!AK92-'IS (Base-Case)'!AK92</f>
        <v>0</v>
      </c>
      <c r="AL92" s="73">
        <f>'IS (Bull-Case)'!AL92-'IS (Base-Case)'!AL92</f>
        <v>0</v>
      </c>
      <c r="AM92" s="72">
        <f>'IS (Bull-Case)'!AM92-'IS (Base-Case)'!AM92</f>
        <v>0</v>
      </c>
      <c r="AN92" s="72">
        <f>'IS (Bull-Case)'!AN92-'IS (Base-Case)'!AN92</f>
        <v>0</v>
      </c>
      <c r="AO92" s="72">
        <f>'IS (Bull-Case)'!AO92-'IS (Base-Case)'!AO92</f>
        <v>0</v>
      </c>
      <c r="AP92" s="72">
        <f>'IS (Bull-Case)'!AP92-'IS (Base-Case)'!AP92</f>
        <v>0</v>
      </c>
      <c r="AQ92" s="73">
        <f>'IS (Bull-Case)'!AQ92-'IS (Base-Case)'!AQ92</f>
        <v>0</v>
      </c>
      <c r="AR92" s="72">
        <f>'IS (Bull-Case)'!AR92-'IS (Base-Case)'!AR92</f>
        <v>0</v>
      </c>
      <c r="AS92" s="72">
        <f>'IS (Bull-Case)'!AS92-'IS (Base-Case)'!AS92</f>
        <v>0</v>
      </c>
      <c r="AT92" s="72">
        <f>'IS (Bull-Case)'!AT92-'IS (Base-Case)'!AT92</f>
        <v>0</v>
      </c>
      <c r="AU92" s="72">
        <f>'IS (Bull-Case)'!AU92-'IS (Base-Case)'!AU92</f>
        <v>0</v>
      </c>
      <c r="AV92" s="73">
        <f>'IS (Bull-Case)'!AV92-'IS (Base-Case)'!AV92</f>
        <v>0</v>
      </c>
    </row>
    <row r="93" spans="1:48" outlineLevel="1" x14ac:dyDescent="0.3">
      <c r="B93" s="443" t="s">
        <v>100</v>
      </c>
      <c r="C93" s="444"/>
      <c r="D93" s="105">
        <f>'IS (Bull-Case)'!D93-'IS (Base-Case)'!D93</f>
        <v>0</v>
      </c>
      <c r="E93" s="105">
        <f>'IS (Bull-Case)'!E93-'IS (Base-Case)'!E93</f>
        <v>0</v>
      </c>
      <c r="F93" s="105">
        <f>'IS (Bull-Case)'!F93-'IS (Base-Case)'!F93</f>
        <v>0</v>
      </c>
      <c r="G93" s="105">
        <f>'IS (Bull-Case)'!G93-'IS (Base-Case)'!G93</f>
        <v>0</v>
      </c>
      <c r="H93" s="129">
        <f>'IS (Bull-Case)'!H93-'IS (Base-Case)'!H93</f>
        <v>0</v>
      </c>
      <c r="I93" s="105">
        <f>'IS (Bull-Case)'!I93-'IS (Base-Case)'!I93</f>
        <v>0</v>
      </c>
      <c r="J93" s="105">
        <f>'IS (Bull-Case)'!J93-'IS (Base-Case)'!J93</f>
        <v>0</v>
      </c>
      <c r="K93" s="105">
        <f>'IS (Bull-Case)'!K93-'IS (Base-Case)'!K93</f>
        <v>0</v>
      </c>
      <c r="L93" s="105">
        <f>'IS (Bull-Case)'!L93-'IS (Base-Case)'!L93</f>
        <v>0</v>
      </c>
      <c r="M93" s="129">
        <f>'IS (Bull-Case)'!M93-'IS (Base-Case)'!M93</f>
        <v>0</v>
      </c>
      <c r="N93" s="105">
        <f>'IS (Bull-Case)'!N93-'IS (Base-Case)'!N93</f>
        <v>0</v>
      </c>
      <c r="O93" s="105">
        <f>'IS (Bull-Case)'!O93-'IS (Base-Case)'!O93</f>
        <v>0</v>
      </c>
      <c r="P93" s="105">
        <f>'IS (Bull-Case)'!P93-'IS (Base-Case)'!P93</f>
        <v>0</v>
      </c>
      <c r="Q93" s="105">
        <f>'IS (Bull-Case)'!Q93-'IS (Base-Case)'!Q93</f>
        <v>0</v>
      </c>
      <c r="R93" s="76">
        <f>'IS (Bull-Case)'!R93-'IS (Base-Case)'!R93</f>
        <v>0</v>
      </c>
      <c r="S93" s="48">
        <f>'IS (Bull-Case)'!S93-'IS (Base-Case)'!S93</f>
        <v>0</v>
      </c>
      <c r="T93" s="48">
        <f>'IS (Bull-Case)'!T93-'IS (Base-Case)'!T93</f>
        <v>0</v>
      </c>
      <c r="U93" s="48">
        <f>'IS (Bull-Case)'!U93-'IS (Base-Case)'!U93</f>
        <v>0</v>
      </c>
      <c r="V93" s="48">
        <f>'IS (Bull-Case)'!V93-'IS (Base-Case)'!V93</f>
        <v>0</v>
      </c>
      <c r="W93" s="76">
        <f>'IS (Bull-Case)'!W93-'IS (Base-Case)'!W93</f>
        <v>0</v>
      </c>
      <c r="X93" s="48">
        <f>'IS (Bull-Case)'!X93-'IS (Base-Case)'!X93</f>
        <v>0</v>
      </c>
      <c r="Y93" s="48">
        <f>'IS (Bull-Case)'!Y93-'IS (Base-Case)'!Y93</f>
        <v>0</v>
      </c>
      <c r="Z93" s="48">
        <f>'IS (Bull-Case)'!Z93-'IS (Base-Case)'!Z93</f>
        <v>0</v>
      </c>
      <c r="AA93" s="48">
        <f>'IS (Bull-Case)'!AA93-'IS (Base-Case)'!AA93</f>
        <v>0</v>
      </c>
      <c r="AB93" s="76">
        <f>'IS (Bull-Case)'!AB93-'IS (Base-Case)'!AB93</f>
        <v>0</v>
      </c>
      <c r="AC93" s="48">
        <f>'IS (Bull-Case)'!AC93-'IS (Base-Case)'!AC93</f>
        <v>0</v>
      </c>
      <c r="AD93" s="48">
        <f>'IS (Bull-Case)'!AD93-'IS (Base-Case)'!AD93</f>
        <v>0</v>
      </c>
      <c r="AE93" s="48">
        <f>'IS (Bull-Case)'!AE93-'IS (Base-Case)'!AE93</f>
        <v>0</v>
      </c>
      <c r="AF93" s="48">
        <f>'IS (Bull-Case)'!AF93-'IS (Base-Case)'!AF93</f>
        <v>0</v>
      </c>
      <c r="AG93" s="76">
        <f>'IS (Bull-Case)'!AG93-'IS (Base-Case)'!AG93</f>
        <v>0</v>
      </c>
      <c r="AH93" s="48">
        <f>'IS (Bull-Case)'!AH93-'IS (Base-Case)'!AH93</f>
        <v>0</v>
      </c>
      <c r="AI93" s="48">
        <f>'IS (Bull-Case)'!AI93-'IS (Base-Case)'!AI93</f>
        <v>0</v>
      </c>
      <c r="AJ93" s="48">
        <f>'IS (Bull-Case)'!AJ93-'IS (Base-Case)'!AJ93</f>
        <v>0</v>
      </c>
      <c r="AK93" s="48">
        <f>'IS (Bull-Case)'!AK93-'IS (Base-Case)'!AK93</f>
        <v>0</v>
      </c>
      <c r="AL93" s="76">
        <f>'IS (Bull-Case)'!AL93-'IS (Base-Case)'!AL93</f>
        <v>0</v>
      </c>
      <c r="AM93" s="48">
        <f>'IS (Bull-Case)'!AM93-'IS (Base-Case)'!AM93</f>
        <v>0</v>
      </c>
      <c r="AN93" s="48">
        <f>'IS (Bull-Case)'!AN93-'IS (Base-Case)'!AN93</f>
        <v>0</v>
      </c>
      <c r="AO93" s="48">
        <f>'IS (Bull-Case)'!AO93-'IS (Base-Case)'!AO93</f>
        <v>0</v>
      </c>
      <c r="AP93" s="48">
        <f>'IS (Bull-Case)'!AP93-'IS (Base-Case)'!AP93</f>
        <v>0</v>
      </c>
      <c r="AQ93" s="76">
        <f>'IS (Bull-Case)'!AQ93-'IS (Base-Case)'!AQ93</f>
        <v>0</v>
      </c>
      <c r="AR93" s="48">
        <f>'IS (Bull-Case)'!AR93-'IS (Base-Case)'!AR93</f>
        <v>0</v>
      </c>
      <c r="AS93" s="48">
        <f>'IS (Bull-Case)'!AS93-'IS (Base-Case)'!AS93</f>
        <v>0</v>
      </c>
      <c r="AT93" s="48">
        <f>'IS (Bull-Case)'!AT93-'IS (Base-Case)'!AT93</f>
        <v>0</v>
      </c>
      <c r="AU93" s="48">
        <f>'IS (Bull-Case)'!AU93-'IS (Base-Case)'!AU93</f>
        <v>0</v>
      </c>
      <c r="AV93" s="76">
        <f>'IS (Bull-Case)'!AV93-'IS (Base-Case)'!AV93</f>
        <v>0</v>
      </c>
    </row>
    <row r="94" spans="1:48" s="183" customFormat="1" outlineLevel="1" x14ac:dyDescent="0.3">
      <c r="A94" s="238"/>
      <c r="B94" s="181" t="s">
        <v>151</v>
      </c>
      <c r="C94" s="182"/>
      <c r="D94" s="167">
        <f>'IS (Bull-Case)'!D94-'IS (Base-Case)'!D94</f>
        <v>0</v>
      </c>
      <c r="E94" s="167">
        <f>'IS (Bull-Case)'!E94-'IS (Base-Case)'!E94</f>
        <v>0</v>
      </c>
      <c r="F94" s="167">
        <f>'IS (Bull-Case)'!F94-'IS (Base-Case)'!F94</f>
        <v>0</v>
      </c>
      <c r="G94" s="167">
        <f>'IS (Bull-Case)'!G94-'IS (Base-Case)'!G94</f>
        <v>0</v>
      </c>
      <c r="H94" s="186">
        <f>'IS (Bull-Case)'!H94-'IS (Base-Case)'!H94</f>
        <v>0</v>
      </c>
      <c r="I94" s="167">
        <f>'IS (Bull-Case)'!I94-'IS (Base-Case)'!I94</f>
        <v>0</v>
      </c>
      <c r="J94" s="167">
        <f>'IS (Bull-Case)'!J94-'IS (Base-Case)'!J94</f>
        <v>0</v>
      </c>
      <c r="K94" s="167">
        <f>'IS (Bull-Case)'!K94-'IS (Base-Case)'!K94</f>
        <v>0</v>
      </c>
      <c r="L94" s="167">
        <f>'IS (Bull-Case)'!L94-'IS (Base-Case)'!L94</f>
        <v>0</v>
      </c>
      <c r="M94" s="186">
        <f>'IS (Bull-Case)'!M94-'IS (Base-Case)'!M94</f>
        <v>0</v>
      </c>
      <c r="N94" s="167">
        <f>'IS (Bull-Case)'!N94-'IS (Base-Case)'!N94</f>
        <v>0</v>
      </c>
      <c r="O94" s="167">
        <f>'IS (Bull-Case)'!O94-'IS (Base-Case)'!O94</f>
        <v>0</v>
      </c>
      <c r="P94" s="167">
        <f>'IS (Bull-Case)'!P94-'IS (Base-Case)'!P94</f>
        <v>0</v>
      </c>
      <c r="Q94" s="167">
        <f>'IS (Bull-Case)'!Q94-'IS (Base-Case)'!Q94</f>
        <v>0</v>
      </c>
      <c r="R94" s="188">
        <f>'IS (Bull-Case)'!R94-'IS (Base-Case)'!R94</f>
        <v>0</v>
      </c>
      <c r="S94" s="167">
        <f>'IS (Bull-Case)'!S94-'IS (Base-Case)'!S94</f>
        <v>0</v>
      </c>
      <c r="T94" s="167">
        <f>'IS (Bull-Case)'!T94-'IS (Base-Case)'!T94</f>
        <v>0</v>
      </c>
      <c r="U94" s="167">
        <f>'IS (Bull-Case)'!U94-'IS (Base-Case)'!U94</f>
        <v>0</v>
      </c>
      <c r="V94" s="189">
        <f>'IS (Bull-Case)'!V94-'IS (Base-Case)'!V94</f>
        <v>0</v>
      </c>
      <c r="W94" s="188">
        <f>'IS (Bull-Case)'!W94-'IS (Base-Case)'!W94</f>
        <v>0</v>
      </c>
      <c r="X94" s="189">
        <f>'IS (Bull-Case)'!X94-'IS (Base-Case)'!X94</f>
        <v>0</v>
      </c>
      <c r="Y94" s="189">
        <f>'IS (Bull-Case)'!Y94-'IS (Base-Case)'!Y94</f>
        <v>0</v>
      </c>
      <c r="Z94" s="189">
        <f>'IS (Bull-Case)'!Z94-'IS (Base-Case)'!Z94</f>
        <v>0</v>
      </c>
      <c r="AA94" s="189">
        <f>'IS (Bull-Case)'!AA94-'IS (Base-Case)'!AA94</f>
        <v>0</v>
      </c>
      <c r="AB94" s="188">
        <f>'IS (Bull-Case)'!AB94-'IS (Base-Case)'!AB94</f>
        <v>0</v>
      </c>
      <c r="AC94" s="189">
        <f>'IS (Bull-Case)'!AC94-'IS (Base-Case)'!AC94</f>
        <v>0</v>
      </c>
      <c r="AD94" s="189">
        <f>'IS (Bull-Case)'!AD94-'IS (Base-Case)'!AD94</f>
        <v>0</v>
      </c>
      <c r="AE94" s="189">
        <f>'IS (Bull-Case)'!AE94-'IS (Base-Case)'!AE94</f>
        <v>0</v>
      </c>
      <c r="AF94" s="189">
        <f>'IS (Bull-Case)'!AF94-'IS (Base-Case)'!AF94</f>
        <v>0</v>
      </c>
      <c r="AG94" s="188">
        <f>'IS (Bull-Case)'!AG94-'IS (Base-Case)'!AG94</f>
        <v>0</v>
      </c>
      <c r="AH94" s="189">
        <f>'IS (Bull-Case)'!AH94-'IS (Base-Case)'!AH94</f>
        <v>0</v>
      </c>
      <c r="AI94" s="189">
        <f>'IS (Bull-Case)'!AI94-'IS (Base-Case)'!AI94</f>
        <v>0</v>
      </c>
      <c r="AJ94" s="189">
        <f>'IS (Bull-Case)'!AJ94-'IS (Base-Case)'!AJ94</f>
        <v>0</v>
      </c>
      <c r="AK94" s="189">
        <f>'IS (Bull-Case)'!AK94-'IS (Base-Case)'!AK94</f>
        <v>0</v>
      </c>
      <c r="AL94" s="188">
        <f>'IS (Bull-Case)'!AL94-'IS (Base-Case)'!AL94</f>
        <v>0</v>
      </c>
      <c r="AM94" s="189">
        <f>'IS (Bull-Case)'!AM94-'IS (Base-Case)'!AM94</f>
        <v>0</v>
      </c>
      <c r="AN94" s="189">
        <f>'IS (Bull-Case)'!AN94-'IS (Base-Case)'!AN94</f>
        <v>0</v>
      </c>
      <c r="AO94" s="189">
        <f>'IS (Bull-Case)'!AO94-'IS (Base-Case)'!AO94</f>
        <v>0</v>
      </c>
      <c r="AP94" s="189">
        <f>'IS (Bull-Case)'!AP94-'IS (Base-Case)'!AP94</f>
        <v>0</v>
      </c>
      <c r="AQ94" s="188">
        <f>'IS (Bull-Case)'!AQ94-'IS (Base-Case)'!AQ94</f>
        <v>0</v>
      </c>
      <c r="AR94" s="189">
        <f>'IS (Bull-Case)'!AR94-'IS (Base-Case)'!AR94</f>
        <v>0</v>
      </c>
      <c r="AS94" s="189">
        <f>'IS (Bull-Case)'!AS94-'IS (Base-Case)'!AS94</f>
        <v>0</v>
      </c>
      <c r="AT94" s="189">
        <f>'IS (Bull-Case)'!AT94-'IS (Base-Case)'!AT94</f>
        <v>0</v>
      </c>
      <c r="AU94" s="189">
        <f>'IS (Bull-Case)'!AU94-'IS (Base-Case)'!AU94</f>
        <v>0</v>
      </c>
      <c r="AV94" s="188">
        <f>'IS (Bull-Case)'!AV94-'IS (Base-Case)'!AV94</f>
        <v>0</v>
      </c>
    </row>
    <row r="95" spans="1:48" outlineLevel="1" x14ac:dyDescent="0.3">
      <c r="B95" s="180" t="s">
        <v>32</v>
      </c>
      <c r="C95" s="18"/>
      <c r="D95" s="105">
        <f>'IS (Bull-Case)'!D95-'IS (Base-Case)'!D95</f>
        <v>0</v>
      </c>
      <c r="E95" s="105">
        <f>'IS (Bull-Case)'!E95-'IS (Base-Case)'!E95</f>
        <v>0</v>
      </c>
      <c r="F95" s="105">
        <f>'IS (Bull-Case)'!F95-'IS (Base-Case)'!F95</f>
        <v>0</v>
      </c>
      <c r="G95" s="105">
        <f>'IS (Bull-Case)'!G95-'IS (Base-Case)'!G95</f>
        <v>0</v>
      </c>
      <c r="H95" s="170">
        <f>'IS (Bull-Case)'!H95-'IS (Base-Case)'!H95</f>
        <v>0</v>
      </c>
      <c r="I95" s="105">
        <f>'IS (Bull-Case)'!I95-'IS (Base-Case)'!I95</f>
        <v>0</v>
      </c>
      <c r="J95" s="105">
        <f>'IS (Bull-Case)'!J95-'IS (Base-Case)'!J95</f>
        <v>0</v>
      </c>
      <c r="K95" s="105">
        <f>'IS (Bull-Case)'!K95-'IS (Base-Case)'!K95</f>
        <v>0</v>
      </c>
      <c r="L95" s="105">
        <f>'IS (Bull-Case)'!L95-'IS (Base-Case)'!L95</f>
        <v>0</v>
      </c>
      <c r="M95" s="170">
        <f>'IS (Bull-Case)'!M95-'IS (Base-Case)'!M95</f>
        <v>0</v>
      </c>
      <c r="N95" s="105">
        <f>'IS (Bull-Case)'!N95-'IS (Base-Case)'!N95</f>
        <v>0</v>
      </c>
      <c r="O95" s="105">
        <f>'IS (Bull-Case)'!O95-'IS (Base-Case)'!O95</f>
        <v>0</v>
      </c>
      <c r="P95" s="105">
        <f>'IS (Bull-Case)'!P95-'IS (Base-Case)'!P95</f>
        <v>0</v>
      </c>
      <c r="Q95" s="105">
        <f>'IS (Bull-Case)'!Q95-'IS (Base-Case)'!Q95</f>
        <v>0</v>
      </c>
      <c r="R95" s="49">
        <f>'IS (Bull-Case)'!R95-'IS (Base-Case)'!R95</f>
        <v>0</v>
      </c>
      <c r="S95" s="48">
        <f>'IS (Bull-Case)'!S95-'IS (Base-Case)'!S95</f>
        <v>0</v>
      </c>
      <c r="T95" s="48">
        <f>'IS (Bull-Case)'!T95-'IS (Base-Case)'!T95</f>
        <v>0</v>
      </c>
      <c r="U95" s="48">
        <f>'IS (Bull-Case)'!U95-'IS (Base-Case)'!U95</f>
        <v>0</v>
      </c>
      <c r="V95" s="48">
        <f>'IS (Bull-Case)'!V95-'IS (Base-Case)'!V95</f>
        <v>0</v>
      </c>
      <c r="W95" s="49">
        <f>'IS (Bull-Case)'!W95-'IS (Base-Case)'!W95</f>
        <v>0</v>
      </c>
      <c r="X95" s="48">
        <f>'IS (Bull-Case)'!X95-'IS (Base-Case)'!X95</f>
        <v>0</v>
      </c>
      <c r="Y95" s="48">
        <f>'IS (Bull-Case)'!Y95-'IS (Base-Case)'!Y95</f>
        <v>0</v>
      </c>
      <c r="Z95" s="48">
        <f>'IS (Bull-Case)'!Z95-'IS (Base-Case)'!Z95</f>
        <v>0</v>
      </c>
      <c r="AA95" s="48">
        <f>'IS (Bull-Case)'!AA95-'IS (Base-Case)'!AA95</f>
        <v>0</v>
      </c>
      <c r="AB95" s="49">
        <f>'IS (Bull-Case)'!AB95-'IS (Base-Case)'!AB95</f>
        <v>0</v>
      </c>
      <c r="AC95" s="48">
        <f>'IS (Bull-Case)'!AC95-'IS (Base-Case)'!AC95</f>
        <v>0</v>
      </c>
      <c r="AD95" s="48">
        <f>'IS (Bull-Case)'!AD95-'IS (Base-Case)'!AD95</f>
        <v>0</v>
      </c>
      <c r="AE95" s="48">
        <f>'IS (Bull-Case)'!AE95-'IS (Base-Case)'!AE95</f>
        <v>0</v>
      </c>
      <c r="AF95" s="48">
        <f>'IS (Bull-Case)'!AF95-'IS (Base-Case)'!AF95</f>
        <v>0</v>
      </c>
      <c r="AG95" s="49">
        <f>'IS (Bull-Case)'!AG95-'IS (Base-Case)'!AG95</f>
        <v>0</v>
      </c>
      <c r="AH95" s="48">
        <f>'IS (Bull-Case)'!AH95-'IS (Base-Case)'!AH95</f>
        <v>0</v>
      </c>
      <c r="AI95" s="48">
        <f>'IS (Bull-Case)'!AI95-'IS (Base-Case)'!AI95</f>
        <v>0</v>
      </c>
      <c r="AJ95" s="48">
        <f>'IS (Bull-Case)'!AJ95-'IS (Base-Case)'!AJ95</f>
        <v>0</v>
      </c>
      <c r="AK95" s="48">
        <f>'IS (Bull-Case)'!AK95-'IS (Base-Case)'!AK95</f>
        <v>0</v>
      </c>
      <c r="AL95" s="49">
        <f>'IS (Bull-Case)'!AL95-'IS (Base-Case)'!AL95</f>
        <v>0</v>
      </c>
      <c r="AM95" s="48">
        <f>'IS (Bull-Case)'!AM95-'IS (Base-Case)'!AM95</f>
        <v>0</v>
      </c>
      <c r="AN95" s="48">
        <f>'IS (Bull-Case)'!AN95-'IS (Base-Case)'!AN95</f>
        <v>0</v>
      </c>
      <c r="AO95" s="48">
        <f>'IS (Bull-Case)'!AO95-'IS (Base-Case)'!AO95</f>
        <v>0</v>
      </c>
      <c r="AP95" s="48">
        <f>'IS (Bull-Case)'!AP95-'IS (Base-Case)'!AP95</f>
        <v>0</v>
      </c>
      <c r="AQ95" s="49">
        <f>'IS (Bull-Case)'!AQ95-'IS (Base-Case)'!AQ95</f>
        <v>0</v>
      </c>
      <c r="AR95" s="48">
        <f>'IS (Bull-Case)'!AR95-'IS (Base-Case)'!AR95</f>
        <v>0</v>
      </c>
      <c r="AS95" s="48">
        <f>'IS (Bull-Case)'!AS95-'IS (Base-Case)'!AS95</f>
        <v>0</v>
      </c>
      <c r="AT95" s="48">
        <f>'IS (Bull-Case)'!AT95-'IS (Base-Case)'!AT95</f>
        <v>0</v>
      </c>
      <c r="AU95" s="48">
        <f>'IS (Bull-Case)'!AU95-'IS (Base-Case)'!AU95</f>
        <v>0</v>
      </c>
      <c r="AV95" s="49">
        <f>'IS (Bull-Case)'!AV95-'IS (Base-Case)'!AV95</f>
        <v>0</v>
      </c>
    </row>
    <row r="96" spans="1:48" s="184" customFormat="1" outlineLevel="1" x14ac:dyDescent="0.3">
      <c r="B96" s="181" t="s">
        <v>150</v>
      </c>
      <c r="C96" s="190"/>
      <c r="D96" s="167">
        <f>'IS (Bull-Case)'!D96-'IS (Base-Case)'!D96</f>
        <v>0</v>
      </c>
      <c r="E96" s="167">
        <f>'IS (Bull-Case)'!E96-'IS (Base-Case)'!E96</f>
        <v>0</v>
      </c>
      <c r="F96" s="167">
        <f>'IS (Bull-Case)'!F96-'IS (Base-Case)'!F96</f>
        <v>0</v>
      </c>
      <c r="G96" s="167">
        <f>'IS (Bull-Case)'!G96-'IS (Base-Case)'!G96</f>
        <v>0</v>
      </c>
      <c r="H96" s="186">
        <f>'IS (Bull-Case)'!H96-'IS (Base-Case)'!H96</f>
        <v>0</v>
      </c>
      <c r="I96" s="167">
        <f>'IS (Bull-Case)'!I96-'IS (Base-Case)'!I96</f>
        <v>0</v>
      </c>
      <c r="J96" s="167">
        <f>'IS (Bull-Case)'!J96-'IS (Base-Case)'!J96</f>
        <v>0</v>
      </c>
      <c r="K96" s="167">
        <f>'IS (Bull-Case)'!K96-'IS (Base-Case)'!K96</f>
        <v>0</v>
      </c>
      <c r="L96" s="167">
        <f>'IS (Bull-Case)'!L96-'IS (Base-Case)'!L96</f>
        <v>0</v>
      </c>
      <c r="M96" s="186">
        <f>'IS (Bull-Case)'!M96-'IS (Base-Case)'!M96</f>
        <v>0</v>
      </c>
      <c r="N96" s="167">
        <f>'IS (Bull-Case)'!N96-'IS (Base-Case)'!N96</f>
        <v>0</v>
      </c>
      <c r="O96" s="167">
        <f>'IS (Bull-Case)'!O96-'IS (Base-Case)'!O96</f>
        <v>0</v>
      </c>
      <c r="P96" s="167">
        <f>'IS (Bull-Case)'!P96-'IS (Base-Case)'!P96</f>
        <v>0</v>
      </c>
      <c r="Q96" s="167">
        <f>'IS (Bull-Case)'!Q96-'IS (Base-Case)'!Q96</f>
        <v>0</v>
      </c>
      <c r="R96" s="188">
        <f>'IS (Bull-Case)'!R96-'IS (Base-Case)'!R96</f>
        <v>0</v>
      </c>
      <c r="S96" s="167">
        <f>'IS (Bull-Case)'!S96-'IS (Base-Case)'!S96</f>
        <v>0</v>
      </c>
      <c r="T96" s="167">
        <f>'IS (Bull-Case)'!T96-'IS (Base-Case)'!T96</f>
        <v>0</v>
      </c>
      <c r="U96" s="167">
        <f>'IS (Bull-Case)'!U96-'IS (Base-Case)'!U96</f>
        <v>0</v>
      </c>
      <c r="V96" s="189">
        <f>'IS (Bull-Case)'!V96-'IS (Base-Case)'!V96</f>
        <v>0</v>
      </c>
      <c r="W96" s="188">
        <f>'IS (Bull-Case)'!W96-'IS (Base-Case)'!W96</f>
        <v>0</v>
      </c>
      <c r="X96" s="189">
        <f>'IS (Bull-Case)'!X96-'IS (Base-Case)'!X96</f>
        <v>0</v>
      </c>
      <c r="Y96" s="189">
        <f>'IS (Bull-Case)'!Y96-'IS (Base-Case)'!Y96</f>
        <v>0</v>
      </c>
      <c r="Z96" s="189">
        <f>'IS (Bull-Case)'!Z96-'IS (Base-Case)'!Z96</f>
        <v>0</v>
      </c>
      <c r="AA96" s="189">
        <f>'IS (Bull-Case)'!AA96-'IS (Base-Case)'!AA96</f>
        <v>0</v>
      </c>
      <c r="AB96" s="188">
        <f>'IS (Bull-Case)'!AB96-'IS (Base-Case)'!AB96</f>
        <v>0</v>
      </c>
      <c r="AC96" s="189">
        <f>'IS (Bull-Case)'!AC96-'IS (Base-Case)'!AC96</f>
        <v>0</v>
      </c>
      <c r="AD96" s="189">
        <f>'IS (Bull-Case)'!AD96-'IS (Base-Case)'!AD96</f>
        <v>0</v>
      </c>
      <c r="AE96" s="189">
        <f>'IS (Bull-Case)'!AE96-'IS (Base-Case)'!AE96</f>
        <v>0</v>
      </c>
      <c r="AF96" s="189">
        <f>'IS (Bull-Case)'!AF96-'IS (Base-Case)'!AF96</f>
        <v>0</v>
      </c>
      <c r="AG96" s="188">
        <f>'IS (Bull-Case)'!AG96-'IS (Base-Case)'!AG96</f>
        <v>0</v>
      </c>
      <c r="AH96" s="189">
        <f>'IS (Bull-Case)'!AH96-'IS (Base-Case)'!AH96</f>
        <v>0</v>
      </c>
      <c r="AI96" s="189">
        <f>'IS (Bull-Case)'!AI96-'IS (Base-Case)'!AI96</f>
        <v>0</v>
      </c>
      <c r="AJ96" s="189">
        <f>'IS (Bull-Case)'!AJ96-'IS (Base-Case)'!AJ96</f>
        <v>0</v>
      </c>
      <c r="AK96" s="189">
        <f>'IS (Bull-Case)'!AK96-'IS (Base-Case)'!AK96</f>
        <v>0</v>
      </c>
      <c r="AL96" s="188">
        <f>'IS (Bull-Case)'!AL96-'IS (Base-Case)'!AL96</f>
        <v>0</v>
      </c>
      <c r="AM96" s="189">
        <f>'IS (Bull-Case)'!AM96-'IS (Base-Case)'!AM96</f>
        <v>0</v>
      </c>
      <c r="AN96" s="189">
        <f>'IS (Bull-Case)'!AN96-'IS (Base-Case)'!AN96</f>
        <v>0</v>
      </c>
      <c r="AO96" s="189">
        <f>'IS (Bull-Case)'!AO96-'IS (Base-Case)'!AO96</f>
        <v>0</v>
      </c>
      <c r="AP96" s="189">
        <f>'IS (Bull-Case)'!AP96-'IS (Base-Case)'!AP96</f>
        <v>0</v>
      </c>
      <c r="AQ96" s="188">
        <f>'IS (Bull-Case)'!AQ96-'IS (Base-Case)'!AQ96</f>
        <v>0</v>
      </c>
      <c r="AR96" s="189">
        <f>'IS (Bull-Case)'!AR96-'IS (Base-Case)'!AR96</f>
        <v>0</v>
      </c>
      <c r="AS96" s="189">
        <f>'IS (Bull-Case)'!AS96-'IS (Base-Case)'!AS96</f>
        <v>0</v>
      </c>
      <c r="AT96" s="189">
        <f>'IS (Bull-Case)'!AT96-'IS (Base-Case)'!AT96</f>
        <v>0</v>
      </c>
      <c r="AU96" s="189">
        <f>'IS (Bull-Case)'!AU96-'IS (Base-Case)'!AU96</f>
        <v>0</v>
      </c>
      <c r="AV96" s="188">
        <f>'IS (Bull-Case)'!AV96-'IS (Base-Case)'!AV96</f>
        <v>0</v>
      </c>
    </row>
    <row r="97" spans="1:48" outlineLevel="1" x14ac:dyDescent="0.3">
      <c r="B97" s="180" t="s">
        <v>33</v>
      </c>
      <c r="C97" s="18"/>
      <c r="D97" s="105">
        <f>'IS (Bull-Case)'!D97-'IS (Base-Case)'!D97</f>
        <v>0</v>
      </c>
      <c r="E97" s="105">
        <f>'IS (Bull-Case)'!E97-'IS (Base-Case)'!E97</f>
        <v>0</v>
      </c>
      <c r="F97" s="105">
        <f>'IS (Bull-Case)'!F97-'IS (Base-Case)'!F97</f>
        <v>0</v>
      </c>
      <c r="G97" s="105">
        <f>'IS (Bull-Case)'!G97-'IS (Base-Case)'!G97</f>
        <v>0</v>
      </c>
      <c r="H97" s="170">
        <f>'IS (Bull-Case)'!H97-'IS (Base-Case)'!H97</f>
        <v>0</v>
      </c>
      <c r="I97" s="105">
        <f>'IS (Bull-Case)'!I97-'IS (Base-Case)'!I97</f>
        <v>0</v>
      </c>
      <c r="J97" s="105">
        <f>'IS (Bull-Case)'!J97-'IS (Base-Case)'!J97</f>
        <v>0</v>
      </c>
      <c r="K97" s="105">
        <f>'IS (Bull-Case)'!K97-'IS (Base-Case)'!K97</f>
        <v>0</v>
      </c>
      <c r="L97" s="105">
        <f>'IS (Bull-Case)'!L97-'IS (Base-Case)'!L97</f>
        <v>0</v>
      </c>
      <c r="M97" s="170">
        <f>'IS (Bull-Case)'!M97-'IS (Base-Case)'!M97</f>
        <v>0</v>
      </c>
      <c r="N97" s="105">
        <f>'IS (Bull-Case)'!N97-'IS (Base-Case)'!N97</f>
        <v>0</v>
      </c>
      <c r="O97" s="105">
        <f>'IS (Bull-Case)'!O97-'IS (Base-Case)'!O97</f>
        <v>0</v>
      </c>
      <c r="P97" s="105">
        <f>'IS (Bull-Case)'!P97-'IS (Base-Case)'!P97</f>
        <v>0</v>
      </c>
      <c r="Q97" s="105">
        <f>'IS (Bull-Case)'!Q97-'IS (Base-Case)'!Q97</f>
        <v>0</v>
      </c>
      <c r="R97" s="49">
        <f>'IS (Bull-Case)'!R97-'IS (Base-Case)'!R97</f>
        <v>0</v>
      </c>
      <c r="S97" s="48">
        <f>'IS (Bull-Case)'!S97-'IS (Base-Case)'!S97</f>
        <v>0</v>
      </c>
      <c r="T97" s="48">
        <f>'IS (Bull-Case)'!T97-'IS (Base-Case)'!T97</f>
        <v>0</v>
      </c>
      <c r="U97" s="48">
        <f>'IS (Bull-Case)'!U97-'IS (Base-Case)'!U97</f>
        <v>0</v>
      </c>
      <c r="V97" s="48">
        <f>'IS (Bull-Case)'!V97-'IS (Base-Case)'!V97</f>
        <v>0</v>
      </c>
      <c r="W97" s="49">
        <f>'IS (Bull-Case)'!W97-'IS (Base-Case)'!W97</f>
        <v>0</v>
      </c>
      <c r="X97" s="48">
        <f>'IS (Bull-Case)'!X97-'IS (Base-Case)'!X97</f>
        <v>0</v>
      </c>
      <c r="Y97" s="48">
        <f>'IS (Bull-Case)'!Y97-'IS (Base-Case)'!Y97</f>
        <v>0</v>
      </c>
      <c r="Z97" s="48">
        <f>'IS (Bull-Case)'!Z97-'IS (Base-Case)'!Z97</f>
        <v>0</v>
      </c>
      <c r="AA97" s="48">
        <f>'IS (Bull-Case)'!AA97-'IS (Base-Case)'!AA97</f>
        <v>0</v>
      </c>
      <c r="AB97" s="49">
        <f>'IS (Bull-Case)'!AB97-'IS (Base-Case)'!AB97</f>
        <v>0</v>
      </c>
      <c r="AC97" s="48">
        <f>'IS (Bull-Case)'!AC97-'IS (Base-Case)'!AC97</f>
        <v>0</v>
      </c>
      <c r="AD97" s="48">
        <f>'IS (Bull-Case)'!AD97-'IS (Base-Case)'!AD97</f>
        <v>0</v>
      </c>
      <c r="AE97" s="48">
        <f>'IS (Bull-Case)'!AE97-'IS (Base-Case)'!AE97</f>
        <v>0</v>
      </c>
      <c r="AF97" s="48">
        <f>'IS (Bull-Case)'!AF97-'IS (Base-Case)'!AF97</f>
        <v>0</v>
      </c>
      <c r="AG97" s="49">
        <f>'IS (Bull-Case)'!AG97-'IS (Base-Case)'!AG97</f>
        <v>0</v>
      </c>
      <c r="AH97" s="48">
        <f>'IS (Bull-Case)'!AH97-'IS (Base-Case)'!AH97</f>
        <v>0</v>
      </c>
      <c r="AI97" s="48">
        <f>'IS (Bull-Case)'!AI97-'IS (Base-Case)'!AI97</f>
        <v>0</v>
      </c>
      <c r="AJ97" s="48">
        <f>'IS (Bull-Case)'!AJ97-'IS (Base-Case)'!AJ97</f>
        <v>0</v>
      </c>
      <c r="AK97" s="48">
        <f>'IS (Bull-Case)'!AK97-'IS (Base-Case)'!AK97</f>
        <v>0</v>
      </c>
      <c r="AL97" s="49">
        <f>'IS (Bull-Case)'!AL97-'IS (Base-Case)'!AL97</f>
        <v>0</v>
      </c>
      <c r="AM97" s="48">
        <f>'IS (Bull-Case)'!AM97-'IS (Base-Case)'!AM97</f>
        <v>0</v>
      </c>
      <c r="AN97" s="48">
        <f>'IS (Bull-Case)'!AN97-'IS (Base-Case)'!AN97</f>
        <v>0</v>
      </c>
      <c r="AO97" s="48">
        <f>'IS (Bull-Case)'!AO97-'IS (Base-Case)'!AO97</f>
        <v>0</v>
      </c>
      <c r="AP97" s="48">
        <f>'IS (Bull-Case)'!AP97-'IS (Base-Case)'!AP97</f>
        <v>0</v>
      </c>
      <c r="AQ97" s="49">
        <f>'IS (Bull-Case)'!AQ97-'IS (Base-Case)'!AQ97</f>
        <v>0</v>
      </c>
      <c r="AR97" s="48">
        <f>'IS (Bull-Case)'!AR97-'IS (Base-Case)'!AR97</f>
        <v>0</v>
      </c>
      <c r="AS97" s="48">
        <f>'IS (Bull-Case)'!AS97-'IS (Base-Case)'!AS97</f>
        <v>0</v>
      </c>
      <c r="AT97" s="48">
        <f>'IS (Bull-Case)'!AT97-'IS (Base-Case)'!AT97</f>
        <v>0</v>
      </c>
      <c r="AU97" s="48">
        <f>'IS (Bull-Case)'!AU97-'IS (Base-Case)'!AU97</f>
        <v>0</v>
      </c>
      <c r="AV97" s="49">
        <f>'IS (Bull-Case)'!AV97-'IS (Base-Case)'!AV97</f>
        <v>0</v>
      </c>
    </row>
    <row r="98" spans="1:48" s="184" customFormat="1" outlineLevel="1" x14ac:dyDescent="0.3">
      <c r="B98" s="181" t="s">
        <v>152</v>
      </c>
      <c r="C98" s="190"/>
      <c r="D98" s="167">
        <f>'IS (Bull-Case)'!D98-'IS (Base-Case)'!D98</f>
        <v>0</v>
      </c>
      <c r="E98" s="167">
        <f>'IS (Bull-Case)'!E98-'IS (Base-Case)'!E98</f>
        <v>0</v>
      </c>
      <c r="F98" s="167">
        <f>'IS (Bull-Case)'!F98-'IS (Base-Case)'!F98</f>
        <v>0</v>
      </c>
      <c r="G98" s="167">
        <f>'IS (Bull-Case)'!G98-'IS (Base-Case)'!G98</f>
        <v>0</v>
      </c>
      <c r="H98" s="186">
        <f>'IS (Bull-Case)'!H98-'IS (Base-Case)'!H98</f>
        <v>0</v>
      </c>
      <c r="I98" s="167">
        <f>'IS (Bull-Case)'!I98-'IS (Base-Case)'!I98</f>
        <v>0</v>
      </c>
      <c r="J98" s="167">
        <f>'IS (Bull-Case)'!J98-'IS (Base-Case)'!J98</f>
        <v>0</v>
      </c>
      <c r="K98" s="167">
        <f>'IS (Bull-Case)'!K98-'IS (Base-Case)'!K98</f>
        <v>0</v>
      </c>
      <c r="L98" s="167">
        <f>'IS (Bull-Case)'!L98-'IS (Base-Case)'!L98</f>
        <v>0</v>
      </c>
      <c r="M98" s="186">
        <f>'IS (Bull-Case)'!M98-'IS (Base-Case)'!M98</f>
        <v>0</v>
      </c>
      <c r="N98" s="167">
        <f>'IS (Bull-Case)'!N98-'IS (Base-Case)'!N98</f>
        <v>0</v>
      </c>
      <c r="O98" s="167">
        <f>'IS (Bull-Case)'!O98-'IS (Base-Case)'!O98</f>
        <v>0</v>
      </c>
      <c r="P98" s="167">
        <f>'IS (Bull-Case)'!P98-'IS (Base-Case)'!P98</f>
        <v>0</v>
      </c>
      <c r="Q98" s="167">
        <f>'IS (Bull-Case)'!Q98-'IS (Base-Case)'!Q98</f>
        <v>0</v>
      </c>
      <c r="R98" s="188">
        <f>'IS (Bull-Case)'!R98-'IS (Base-Case)'!R98</f>
        <v>0</v>
      </c>
      <c r="S98" s="167">
        <f>'IS (Bull-Case)'!S98-'IS (Base-Case)'!S98</f>
        <v>0</v>
      </c>
      <c r="T98" s="167">
        <f>'IS (Bull-Case)'!T98-'IS (Base-Case)'!T98</f>
        <v>0</v>
      </c>
      <c r="U98" s="167">
        <f>'IS (Bull-Case)'!U98-'IS (Base-Case)'!U98</f>
        <v>0</v>
      </c>
      <c r="V98" s="189">
        <f>'IS (Bull-Case)'!V98-'IS (Base-Case)'!V98</f>
        <v>0</v>
      </c>
      <c r="W98" s="188">
        <f>'IS (Bull-Case)'!W98-'IS (Base-Case)'!W98</f>
        <v>0</v>
      </c>
      <c r="X98" s="189">
        <f>'IS (Bull-Case)'!X98-'IS (Base-Case)'!X98</f>
        <v>0</v>
      </c>
      <c r="Y98" s="189">
        <f>'IS (Bull-Case)'!Y98-'IS (Base-Case)'!Y98</f>
        <v>0</v>
      </c>
      <c r="Z98" s="189">
        <f>'IS (Bull-Case)'!Z98-'IS (Base-Case)'!Z98</f>
        <v>0</v>
      </c>
      <c r="AA98" s="189">
        <f>'IS (Bull-Case)'!AA98-'IS (Base-Case)'!AA98</f>
        <v>0</v>
      </c>
      <c r="AB98" s="188">
        <f>'IS (Bull-Case)'!AB98-'IS (Base-Case)'!AB98</f>
        <v>0</v>
      </c>
      <c r="AC98" s="189">
        <f>'IS (Bull-Case)'!AC98-'IS (Base-Case)'!AC98</f>
        <v>0</v>
      </c>
      <c r="AD98" s="189">
        <f>'IS (Bull-Case)'!AD98-'IS (Base-Case)'!AD98</f>
        <v>0</v>
      </c>
      <c r="AE98" s="189">
        <f>'IS (Bull-Case)'!AE98-'IS (Base-Case)'!AE98</f>
        <v>0</v>
      </c>
      <c r="AF98" s="189">
        <f>'IS (Bull-Case)'!AF98-'IS (Base-Case)'!AF98</f>
        <v>0</v>
      </c>
      <c r="AG98" s="188">
        <f>'IS (Bull-Case)'!AG98-'IS (Base-Case)'!AG98</f>
        <v>0</v>
      </c>
      <c r="AH98" s="189">
        <f>'IS (Bull-Case)'!AH98-'IS (Base-Case)'!AH98</f>
        <v>0</v>
      </c>
      <c r="AI98" s="189">
        <f>'IS (Bull-Case)'!AI98-'IS (Base-Case)'!AI98</f>
        <v>0</v>
      </c>
      <c r="AJ98" s="189">
        <f>'IS (Bull-Case)'!AJ98-'IS (Base-Case)'!AJ98</f>
        <v>0</v>
      </c>
      <c r="AK98" s="189">
        <f>'IS (Bull-Case)'!AK98-'IS (Base-Case)'!AK98</f>
        <v>0</v>
      </c>
      <c r="AL98" s="188">
        <f>'IS (Bull-Case)'!AL98-'IS (Base-Case)'!AL98</f>
        <v>0</v>
      </c>
      <c r="AM98" s="189">
        <f>'IS (Bull-Case)'!AM98-'IS (Base-Case)'!AM98</f>
        <v>0</v>
      </c>
      <c r="AN98" s="189">
        <f>'IS (Bull-Case)'!AN98-'IS (Base-Case)'!AN98</f>
        <v>0</v>
      </c>
      <c r="AO98" s="189">
        <f>'IS (Bull-Case)'!AO98-'IS (Base-Case)'!AO98</f>
        <v>0</v>
      </c>
      <c r="AP98" s="189">
        <f>'IS (Bull-Case)'!AP98-'IS (Base-Case)'!AP98</f>
        <v>0</v>
      </c>
      <c r="AQ98" s="188">
        <f>'IS (Bull-Case)'!AQ98-'IS (Base-Case)'!AQ98</f>
        <v>0</v>
      </c>
      <c r="AR98" s="189">
        <f>'IS (Bull-Case)'!AR98-'IS (Base-Case)'!AR98</f>
        <v>0</v>
      </c>
      <c r="AS98" s="189">
        <f>'IS (Bull-Case)'!AS98-'IS (Base-Case)'!AS98</f>
        <v>0</v>
      </c>
      <c r="AT98" s="189">
        <f>'IS (Bull-Case)'!AT98-'IS (Base-Case)'!AT98</f>
        <v>0</v>
      </c>
      <c r="AU98" s="189">
        <f>'IS (Bull-Case)'!AU98-'IS (Base-Case)'!AU98</f>
        <v>0</v>
      </c>
      <c r="AV98" s="188">
        <f>'IS (Bull-Case)'!AV98-'IS (Base-Case)'!AV98</f>
        <v>0</v>
      </c>
    </row>
    <row r="99" spans="1:48" outlineLevel="1" x14ac:dyDescent="0.3">
      <c r="B99" s="180" t="s">
        <v>34</v>
      </c>
      <c r="C99" s="18"/>
      <c r="D99" s="358">
        <f>'IS (Bull-Case)'!D99-'IS (Base-Case)'!D99</f>
        <v>0</v>
      </c>
      <c r="E99" s="358">
        <f>'IS (Bull-Case)'!E99-'IS (Base-Case)'!E99</f>
        <v>0</v>
      </c>
      <c r="F99" s="358">
        <f>'IS (Bull-Case)'!F99-'IS (Base-Case)'!F99</f>
        <v>0</v>
      </c>
      <c r="G99" s="358">
        <f>'IS (Bull-Case)'!G99-'IS (Base-Case)'!G99</f>
        <v>0</v>
      </c>
      <c r="H99" s="126">
        <f>'IS (Bull-Case)'!H99-'IS (Base-Case)'!H99</f>
        <v>0</v>
      </c>
      <c r="I99" s="358">
        <f>'IS (Bull-Case)'!I99-'IS (Base-Case)'!I99</f>
        <v>0</v>
      </c>
      <c r="J99" s="358">
        <f>'IS (Bull-Case)'!J99-'IS (Base-Case)'!J99</f>
        <v>0</v>
      </c>
      <c r="K99" s="358">
        <f>'IS (Bull-Case)'!K99-'IS (Base-Case)'!K99</f>
        <v>0</v>
      </c>
      <c r="L99" s="358">
        <f>'IS (Bull-Case)'!L99-'IS (Base-Case)'!L99</f>
        <v>0</v>
      </c>
      <c r="M99" s="126">
        <f>'IS (Bull-Case)'!M99-'IS (Base-Case)'!M99</f>
        <v>0</v>
      </c>
      <c r="N99" s="358">
        <f>'IS (Bull-Case)'!N99-'IS (Base-Case)'!N99</f>
        <v>0</v>
      </c>
      <c r="O99" s="358">
        <f>'IS (Bull-Case)'!O99-'IS (Base-Case)'!O99</f>
        <v>0</v>
      </c>
      <c r="P99" s="358">
        <f>'IS (Bull-Case)'!P99-'IS (Base-Case)'!P99</f>
        <v>0</v>
      </c>
      <c r="Q99" s="358">
        <f>'IS (Bull-Case)'!Q99-'IS (Base-Case)'!Q99</f>
        <v>0</v>
      </c>
      <c r="R99" s="126">
        <f>'IS (Bull-Case)'!R99-'IS (Base-Case)'!R99</f>
        <v>0</v>
      </c>
      <c r="S99" s="358">
        <f>'IS (Bull-Case)'!S99-'IS (Base-Case)'!S99</f>
        <v>0</v>
      </c>
      <c r="T99" s="358">
        <f>'IS (Bull-Case)'!T99-'IS (Base-Case)'!T99</f>
        <v>0</v>
      </c>
      <c r="U99" s="358">
        <f>'IS (Bull-Case)'!U99-'IS (Base-Case)'!U99</f>
        <v>0</v>
      </c>
      <c r="V99" s="358">
        <f>'IS (Bull-Case)'!V99-'IS (Base-Case)'!V99</f>
        <v>0</v>
      </c>
      <c r="W99" s="126">
        <f>'IS (Bull-Case)'!W99-'IS (Base-Case)'!W99</f>
        <v>0</v>
      </c>
      <c r="X99" s="358">
        <f>'IS (Bull-Case)'!X99-'IS (Base-Case)'!X99</f>
        <v>0</v>
      </c>
      <c r="Y99" s="358">
        <f>'IS (Bull-Case)'!Y99-'IS (Base-Case)'!Y99</f>
        <v>2.2117360757931692E-3</v>
      </c>
      <c r="Z99" s="358">
        <f>'IS (Bull-Case)'!Z99-'IS (Base-Case)'!Z99</f>
        <v>1.9707236581893994E-3</v>
      </c>
      <c r="AA99" s="358">
        <f>'IS (Bull-Case)'!AA99-'IS (Base-Case)'!AA99</f>
        <v>3.9409984226494998E-3</v>
      </c>
      <c r="AB99" s="126">
        <f>'IS (Bull-Case)'!AB99-'IS (Base-Case)'!AB99</f>
        <v>8.1234581566604902E-3</v>
      </c>
      <c r="AC99" s="358">
        <f>'IS (Bull-Case)'!AC99-'IS (Base-Case)'!AC99</f>
        <v>-4.933128952302468E-4</v>
      </c>
      <c r="AD99" s="358">
        <f>'IS (Bull-Case)'!AD99-'IS (Base-Case)'!AD99</f>
        <v>4.8508940034253101E-4</v>
      </c>
      <c r="AE99" s="358">
        <f>'IS (Bull-Case)'!AE99-'IS (Base-Case)'!AE99</f>
        <v>3.3310913214847915E-3</v>
      </c>
      <c r="AF99" s="358">
        <f>'IS (Bull-Case)'!AF99-'IS (Base-Case)'!AF99</f>
        <v>7.631134434973319E-3</v>
      </c>
      <c r="AG99" s="126">
        <f>'IS (Bull-Case)'!AG99-'IS (Base-Case)'!AG99</f>
        <v>1.0954002261541973E-2</v>
      </c>
      <c r="AH99" s="358">
        <f>'IS (Bull-Case)'!AH99-'IS (Base-Case)'!AH99</f>
        <v>-1.1585051614702024E-3</v>
      </c>
      <c r="AI99" s="358">
        <f>'IS (Bull-Case)'!AI99-'IS (Base-Case)'!AI99</f>
        <v>4.8214549030944909E-4</v>
      </c>
      <c r="AJ99" s="358">
        <f>'IS (Bull-Case)'!AJ99-'IS (Base-Case)'!AJ99</f>
        <v>5.5994840631683473E-3</v>
      </c>
      <c r="AK99" s="358">
        <f>'IS (Bull-Case)'!AK99-'IS (Base-Case)'!AK99</f>
        <v>1.1598311224361169E-2</v>
      </c>
      <c r="AL99" s="126">
        <f>'IS (Bull-Case)'!AL99-'IS (Base-Case)'!AL99</f>
        <v>1.6521435616368763E-2</v>
      </c>
      <c r="AM99" s="358">
        <f>'IS (Bull-Case)'!AM99-'IS (Base-Case)'!AM99</f>
        <v>-2.1617685261503539E-3</v>
      </c>
      <c r="AN99" s="358">
        <f>'IS (Bull-Case)'!AN99-'IS (Base-Case)'!AN99</f>
        <v>-6.0819283806097246E-3</v>
      </c>
      <c r="AO99" s="358">
        <f>'IS (Bull-Case)'!AO99-'IS (Base-Case)'!AO99</f>
        <v>-3.5927000787125962E-3</v>
      </c>
      <c r="AP99" s="358">
        <f>'IS (Bull-Case)'!AP99-'IS (Base-Case)'!AP99</f>
        <v>1.216237185076352E-3</v>
      </c>
      <c r="AQ99" s="126">
        <f>'IS (Bull-Case)'!AQ99-'IS (Base-Case)'!AQ99</f>
        <v>-1.062015980051001E-2</v>
      </c>
      <c r="AR99" s="358">
        <f>'IS (Bull-Case)'!AR99-'IS (Base-Case)'!AR99</f>
        <v>-1.4085585295561032E-2</v>
      </c>
      <c r="AS99" s="358">
        <f>'IS (Bull-Case)'!AS99-'IS (Base-Case)'!AS99</f>
        <v>-1.8111057627976379E-2</v>
      </c>
      <c r="AT99" s="358">
        <f>'IS (Bull-Case)'!AT99-'IS (Base-Case)'!AT99</f>
        <v>-1.5123036007651081E-2</v>
      </c>
      <c r="AU99" s="358">
        <f>'IS (Bull-Case)'!AU99-'IS (Base-Case)'!AU99</f>
        <v>-9.7037127948169655E-3</v>
      </c>
      <c r="AV99" s="126">
        <f>'IS (Bull-Case)'!AV99-'IS (Base-Case)'!AV99</f>
        <v>-5.7023391726033879E-2</v>
      </c>
    </row>
    <row r="100" spans="1:48" outlineLevel="1" x14ac:dyDescent="0.3">
      <c r="B100" s="180" t="s">
        <v>35</v>
      </c>
      <c r="C100" s="18"/>
      <c r="D100" s="105">
        <f>'IS (Bull-Case)'!D100-'IS (Base-Case)'!D100</f>
        <v>0</v>
      </c>
      <c r="E100" s="105">
        <f>'IS (Bull-Case)'!E100-'IS (Base-Case)'!E100</f>
        <v>0</v>
      </c>
      <c r="F100" s="105">
        <f>'IS (Bull-Case)'!F100-'IS (Base-Case)'!F100</f>
        <v>0</v>
      </c>
      <c r="G100" s="105">
        <f>'IS (Bull-Case)'!G100-'IS (Base-Case)'!G100</f>
        <v>0</v>
      </c>
      <c r="H100" s="170">
        <f>'IS (Bull-Case)'!H100-'IS (Base-Case)'!H100</f>
        <v>0</v>
      </c>
      <c r="I100" s="105">
        <f>'IS (Bull-Case)'!I100-'IS (Base-Case)'!I100</f>
        <v>0</v>
      </c>
      <c r="J100" s="105">
        <f>'IS (Bull-Case)'!J100-'IS (Base-Case)'!J100</f>
        <v>0</v>
      </c>
      <c r="K100" s="105">
        <f>'IS (Bull-Case)'!K100-'IS (Base-Case)'!K100</f>
        <v>0</v>
      </c>
      <c r="L100" s="105">
        <f>'IS (Bull-Case)'!L100-'IS (Base-Case)'!L100</f>
        <v>0</v>
      </c>
      <c r="M100" s="170">
        <f>'IS (Bull-Case)'!M100-'IS (Base-Case)'!M100</f>
        <v>0</v>
      </c>
      <c r="N100" s="105">
        <f>'IS (Bull-Case)'!N100-'IS (Base-Case)'!N100</f>
        <v>0</v>
      </c>
      <c r="O100" s="105">
        <f>'IS (Bull-Case)'!O100-'IS (Base-Case)'!O100</f>
        <v>0</v>
      </c>
      <c r="P100" s="105">
        <f>'IS (Bull-Case)'!P100-'IS (Base-Case)'!P100</f>
        <v>0</v>
      </c>
      <c r="Q100" s="105">
        <f>'IS (Bull-Case)'!Q100-'IS (Base-Case)'!Q100</f>
        <v>0</v>
      </c>
      <c r="R100" s="49">
        <f>'IS (Bull-Case)'!R100-'IS (Base-Case)'!R100</f>
        <v>0</v>
      </c>
      <c r="S100" s="48">
        <f>'IS (Bull-Case)'!S100-'IS (Base-Case)'!S100</f>
        <v>0</v>
      </c>
      <c r="T100" s="48">
        <f>'IS (Bull-Case)'!T100-'IS (Base-Case)'!T100</f>
        <v>0</v>
      </c>
      <c r="U100" s="48">
        <f>'IS (Bull-Case)'!U100-'IS (Base-Case)'!U100</f>
        <v>0</v>
      </c>
      <c r="V100" s="48">
        <f>'IS (Bull-Case)'!V100-'IS (Base-Case)'!V100</f>
        <v>0</v>
      </c>
      <c r="W100" s="49">
        <f>'IS (Bull-Case)'!W100-'IS (Base-Case)'!W100</f>
        <v>0</v>
      </c>
      <c r="X100" s="48">
        <f>'IS (Bull-Case)'!X100-'IS (Base-Case)'!X100</f>
        <v>0</v>
      </c>
      <c r="Y100" s="48">
        <f>'IS (Bull-Case)'!Y100-'IS (Base-Case)'!Y100</f>
        <v>0</v>
      </c>
      <c r="Z100" s="48">
        <f>'IS (Bull-Case)'!Z100-'IS (Base-Case)'!Z100</f>
        <v>0</v>
      </c>
      <c r="AA100" s="48">
        <f>'IS (Bull-Case)'!AA100-'IS (Base-Case)'!AA100</f>
        <v>0</v>
      </c>
      <c r="AB100" s="49">
        <f>'IS (Bull-Case)'!AB100-'IS (Base-Case)'!AB100</f>
        <v>0</v>
      </c>
      <c r="AC100" s="48">
        <f>'IS (Bull-Case)'!AC100-'IS (Base-Case)'!AC100</f>
        <v>0</v>
      </c>
      <c r="AD100" s="48">
        <f>'IS (Bull-Case)'!AD100-'IS (Base-Case)'!AD100</f>
        <v>0</v>
      </c>
      <c r="AE100" s="48">
        <f>'IS (Bull-Case)'!AE100-'IS (Base-Case)'!AE100</f>
        <v>0</v>
      </c>
      <c r="AF100" s="48">
        <f>'IS (Bull-Case)'!AF100-'IS (Base-Case)'!AF100</f>
        <v>0</v>
      </c>
      <c r="AG100" s="49">
        <f>'IS (Bull-Case)'!AG100-'IS (Base-Case)'!AG100</f>
        <v>0</v>
      </c>
      <c r="AH100" s="48">
        <f>'IS (Bull-Case)'!AH100-'IS (Base-Case)'!AH100</f>
        <v>0</v>
      </c>
      <c r="AI100" s="48">
        <f>'IS (Bull-Case)'!AI100-'IS (Base-Case)'!AI100</f>
        <v>0</v>
      </c>
      <c r="AJ100" s="48">
        <f>'IS (Bull-Case)'!AJ100-'IS (Base-Case)'!AJ100</f>
        <v>0</v>
      </c>
      <c r="AK100" s="48">
        <f>'IS (Bull-Case)'!AK100-'IS (Base-Case)'!AK100</f>
        <v>0</v>
      </c>
      <c r="AL100" s="49">
        <f>'IS (Bull-Case)'!AL100-'IS (Base-Case)'!AL100</f>
        <v>0</v>
      </c>
      <c r="AM100" s="48">
        <f>'IS (Bull-Case)'!AM100-'IS (Base-Case)'!AM100</f>
        <v>0</v>
      </c>
      <c r="AN100" s="48">
        <f>'IS (Bull-Case)'!AN100-'IS (Base-Case)'!AN100</f>
        <v>0</v>
      </c>
      <c r="AO100" s="48">
        <f>'IS (Bull-Case)'!AO100-'IS (Base-Case)'!AO100</f>
        <v>0</v>
      </c>
      <c r="AP100" s="48">
        <f>'IS (Bull-Case)'!AP100-'IS (Base-Case)'!AP100</f>
        <v>0</v>
      </c>
      <c r="AQ100" s="49">
        <f>'IS (Bull-Case)'!AQ100-'IS (Base-Case)'!AQ100</f>
        <v>0</v>
      </c>
      <c r="AR100" s="48">
        <f>'IS (Bull-Case)'!AR100-'IS (Base-Case)'!AR100</f>
        <v>0</v>
      </c>
      <c r="AS100" s="48">
        <f>'IS (Bull-Case)'!AS100-'IS (Base-Case)'!AS100</f>
        <v>0</v>
      </c>
      <c r="AT100" s="48">
        <f>'IS (Bull-Case)'!AT100-'IS (Base-Case)'!AT100</f>
        <v>0</v>
      </c>
      <c r="AU100" s="48">
        <f>'IS (Bull-Case)'!AU100-'IS (Base-Case)'!AU100</f>
        <v>0</v>
      </c>
      <c r="AV100" s="49">
        <f>'IS (Bull-Case)'!AV100-'IS (Base-Case)'!AV100</f>
        <v>0</v>
      </c>
    </row>
    <row r="101" spans="1:48" s="184" customFormat="1" outlineLevel="1" x14ac:dyDescent="0.3">
      <c r="B101" s="181" t="s">
        <v>153</v>
      </c>
      <c r="C101" s="190"/>
      <c r="D101" s="167">
        <f>'IS (Bull-Case)'!D101-'IS (Base-Case)'!D101</f>
        <v>0</v>
      </c>
      <c r="E101" s="167">
        <f>'IS (Bull-Case)'!E101-'IS (Base-Case)'!E101</f>
        <v>0</v>
      </c>
      <c r="F101" s="167">
        <f>'IS (Bull-Case)'!F101-'IS (Base-Case)'!F101</f>
        <v>0</v>
      </c>
      <c r="G101" s="167">
        <f>'IS (Bull-Case)'!G101-'IS (Base-Case)'!G101</f>
        <v>0</v>
      </c>
      <c r="H101" s="186">
        <f>'IS (Bull-Case)'!H101-'IS (Base-Case)'!H101</f>
        <v>0</v>
      </c>
      <c r="I101" s="167">
        <f>'IS (Bull-Case)'!I101-'IS (Base-Case)'!I101</f>
        <v>0</v>
      </c>
      <c r="J101" s="167">
        <f>'IS (Bull-Case)'!J101-'IS (Base-Case)'!J101</f>
        <v>0</v>
      </c>
      <c r="K101" s="167">
        <f>'IS (Bull-Case)'!K101-'IS (Base-Case)'!K101</f>
        <v>0</v>
      </c>
      <c r="L101" s="167">
        <f>'IS (Bull-Case)'!L101-'IS (Base-Case)'!L101</f>
        <v>0</v>
      </c>
      <c r="M101" s="186">
        <f>'IS (Bull-Case)'!M101-'IS (Base-Case)'!M101</f>
        <v>0</v>
      </c>
      <c r="N101" s="167">
        <f>'IS (Bull-Case)'!N101-'IS (Base-Case)'!N101</f>
        <v>0</v>
      </c>
      <c r="O101" s="167">
        <f>'IS (Bull-Case)'!O101-'IS (Base-Case)'!O101</f>
        <v>0</v>
      </c>
      <c r="P101" s="167">
        <f>'IS (Bull-Case)'!P101-'IS (Base-Case)'!P101</f>
        <v>0</v>
      </c>
      <c r="Q101" s="167">
        <f>'IS (Bull-Case)'!Q101-'IS (Base-Case)'!Q101</f>
        <v>0</v>
      </c>
      <c r="R101" s="188">
        <f>'IS (Bull-Case)'!R101-'IS (Base-Case)'!R101</f>
        <v>0</v>
      </c>
      <c r="S101" s="167">
        <f>'IS (Bull-Case)'!S101-'IS (Base-Case)'!S101</f>
        <v>0</v>
      </c>
      <c r="T101" s="167">
        <f>'IS (Bull-Case)'!T101-'IS (Base-Case)'!T101</f>
        <v>0</v>
      </c>
      <c r="U101" s="167">
        <f>'IS (Bull-Case)'!U101-'IS (Base-Case)'!U101</f>
        <v>0</v>
      </c>
      <c r="V101" s="189">
        <f>'IS (Bull-Case)'!V101-'IS (Base-Case)'!V101</f>
        <v>0</v>
      </c>
      <c r="W101" s="188">
        <f>'IS (Bull-Case)'!W101-'IS (Base-Case)'!W101</f>
        <v>0</v>
      </c>
      <c r="X101" s="189">
        <f>'IS (Bull-Case)'!X101-'IS (Base-Case)'!X101</f>
        <v>0</v>
      </c>
      <c r="Y101" s="189">
        <f>'IS (Bull-Case)'!Y101-'IS (Base-Case)'!Y101</f>
        <v>0</v>
      </c>
      <c r="Z101" s="189">
        <f>'IS (Bull-Case)'!Z101-'IS (Base-Case)'!Z101</f>
        <v>0</v>
      </c>
      <c r="AA101" s="189">
        <f>'IS (Bull-Case)'!AA101-'IS (Base-Case)'!AA101</f>
        <v>0</v>
      </c>
      <c r="AB101" s="188">
        <f>'IS (Bull-Case)'!AB101-'IS (Base-Case)'!AB101</f>
        <v>0</v>
      </c>
      <c r="AC101" s="189">
        <f>'IS (Bull-Case)'!AC101-'IS (Base-Case)'!AC101</f>
        <v>0</v>
      </c>
      <c r="AD101" s="189">
        <f>'IS (Bull-Case)'!AD101-'IS (Base-Case)'!AD101</f>
        <v>0</v>
      </c>
      <c r="AE101" s="189">
        <f>'IS (Bull-Case)'!AE101-'IS (Base-Case)'!AE101</f>
        <v>0</v>
      </c>
      <c r="AF101" s="189">
        <f>'IS (Bull-Case)'!AF101-'IS (Base-Case)'!AF101</f>
        <v>0</v>
      </c>
      <c r="AG101" s="188">
        <f>'IS (Bull-Case)'!AG101-'IS (Base-Case)'!AG101</f>
        <v>0</v>
      </c>
      <c r="AH101" s="189">
        <f>'IS (Bull-Case)'!AH101-'IS (Base-Case)'!AH101</f>
        <v>0</v>
      </c>
      <c r="AI101" s="189">
        <f>'IS (Bull-Case)'!AI101-'IS (Base-Case)'!AI101</f>
        <v>0</v>
      </c>
      <c r="AJ101" s="189">
        <f>'IS (Bull-Case)'!AJ101-'IS (Base-Case)'!AJ101</f>
        <v>0</v>
      </c>
      <c r="AK101" s="189">
        <f>'IS (Bull-Case)'!AK101-'IS (Base-Case)'!AK101</f>
        <v>0</v>
      </c>
      <c r="AL101" s="188">
        <f>'IS (Bull-Case)'!AL101-'IS (Base-Case)'!AL101</f>
        <v>0</v>
      </c>
      <c r="AM101" s="189">
        <f>'IS (Bull-Case)'!AM101-'IS (Base-Case)'!AM101</f>
        <v>0</v>
      </c>
      <c r="AN101" s="189">
        <f>'IS (Bull-Case)'!AN101-'IS (Base-Case)'!AN101</f>
        <v>0</v>
      </c>
      <c r="AO101" s="189">
        <f>'IS (Bull-Case)'!AO101-'IS (Base-Case)'!AO101</f>
        <v>0</v>
      </c>
      <c r="AP101" s="189">
        <f>'IS (Bull-Case)'!AP101-'IS (Base-Case)'!AP101</f>
        <v>0</v>
      </c>
      <c r="AQ101" s="188">
        <f>'IS (Bull-Case)'!AQ101-'IS (Base-Case)'!AQ101</f>
        <v>0</v>
      </c>
      <c r="AR101" s="189">
        <f>'IS (Bull-Case)'!AR101-'IS (Base-Case)'!AR101</f>
        <v>0</v>
      </c>
      <c r="AS101" s="189">
        <f>'IS (Bull-Case)'!AS101-'IS (Base-Case)'!AS101</f>
        <v>0</v>
      </c>
      <c r="AT101" s="189">
        <f>'IS (Bull-Case)'!AT101-'IS (Base-Case)'!AT101</f>
        <v>0</v>
      </c>
      <c r="AU101" s="189">
        <f>'IS (Bull-Case)'!AU101-'IS (Base-Case)'!AU101</f>
        <v>0</v>
      </c>
      <c r="AV101" s="188">
        <f>'IS (Bull-Case)'!AV101-'IS (Base-Case)'!AV101</f>
        <v>0</v>
      </c>
    </row>
    <row r="102" spans="1:48" ht="16.2" outlineLevel="1" x14ac:dyDescent="0.45">
      <c r="B102" s="180" t="s">
        <v>42</v>
      </c>
      <c r="C102" s="18"/>
      <c r="D102" s="119">
        <f>'IS (Bull-Case)'!D102-'IS (Base-Case)'!D102</f>
        <v>0</v>
      </c>
      <c r="E102" s="119">
        <f>'IS (Bull-Case)'!E102-'IS (Base-Case)'!E102</f>
        <v>0</v>
      </c>
      <c r="F102" s="119">
        <f>'IS (Bull-Case)'!F102-'IS (Base-Case)'!F102</f>
        <v>0</v>
      </c>
      <c r="G102" s="119">
        <f>'IS (Bull-Case)'!G102-'IS (Base-Case)'!G102</f>
        <v>0</v>
      </c>
      <c r="H102" s="131">
        <f>'IS (Bull-Case)'!H102-'IS (Base-Case)'!H102</f>
        <v>0</v>
      </c>
      <c r="I102" s="119">
        <f>'IS (Bull-Case)'!I102-'IS (Base-Case)'!I102</f>
        <v>0</v>
      </c>
      <c r="J102" s="119">
        <f>'IS (Bull-Case)'!J102-'IS (Base-Case)'!J102</f>
        <v>0</v>
      </c>
      <c r="K102" s="119">
        <f>'IS (Bull-Case)'!K102-'IS (Base-Case)'!K102</f>
        <v>0</v>
      </c>
      <c r="L102" s="119">
        <f>'IS (Bull-Case)'!L102-'IS (Base-Case)'!L102</f>
        <v>0</v>
      </c>
      <c r="M102" s="131">
        <f>'IS (Bull-Case)'!M102-'IS (Base-Case)'!M102</f>
        <v>0</v>
      </c>
      <c r="N102" s="119">
        <f>'IS (Bull-Case)'!N102-'IS (Base-Case)'!N102</f>
        <v>0</v>
      </c>
      <c r="O102" s="119">
        <f>'IS (Bull-Case)'!O102-'IS (Base-Case)'!O102</f>
        <v>0</v>
      </c>
      <c r="P102" s="119">
        <f>'IS (Bull-Case)'!P102-'IS (Base-Case)'!P102</f>
        <v>0</v>
      </c>
      <c r="Q102" s="119">
        <f>'IS (Bull-Case)'!Q102-'IS (Base-Case)'!Q102</f>
        <v>0</v>
      </c>
      <c r="R102" s="131">
        <f>'IS (Bull-Case)'!R102-'IS (Base-Case)'!R102</f>
        <v>0</v>
      </c>
      <c r="S102" s="119">
        <f>'IS (Bull-Case)'!S102-'IS (Base-Case)'!S102</f>
        <v>0</v>
      </c>
      <c r="T102" s="119">
        <f>'IS (Bull-Case)'!T102-'IS (Base-Case)'!T102</f>
        <v>0</v>
      </c>
      <c r="U102" s="119">
        <f>'IS (Bull-Case)'!U102-'IS (Base-Case)'!U102</f>
        <v>0</v>
      </c>
      <c r="V102" s="119">
        <f>'IS (Bull-Case)'!V102-'IS (Base-Case)'!V102</f>
        <v>0</v>
      </c>
      <c r="W102" s="131">
        <f>'IS (Bull-Case)'!W102-'IS (Base-Case)'!W102</f>
        <v>0</v>
      </c>
      <c r="X102" s="119">
        <f>'IS (Bull-Case)'!X102-'IS (Base-Case)'!X102</f>
        <v>0</v>
      </c>
      <c r="Y102" s="119">
        <f>'IS (Bull-Case)'!Y102-'IS (Base-Case)'!Y102</f>
        <v>0</v>
      </c>
      <c r="Z102" s="119">
        <f>'IS (Bull-Case)'!Z102-'IS (Base-Case)'!Z102</f>
        <v>0</v>
      </c>
      <c r="AA102" s="119">
        <f>'IS (Bull-Case)'!AA102-'IS (Base-Case)'!AA102</f>
        <v>0</v>
      </c>
      <c r="AB102" s="131">
        <f>'IS (Bull-Case)'!AB102-'IS (Base-Case)'!AB102</f>
        <v>0</v>
      </c>
      <c r="AC102" s="119">
        <f>'IS (Bull-Case)'!AC102-'IS (Base-Case)'!AC102</f>
        <v>0</v>
      </c>
      <c r="AD102" s="119">
        <f>'IS (Bull-Case)'!AD102-'IS (Base-Case)'!AD102</f>
        <v>0</v>
      </c>
      <c r="AE102" s="119">
        <f>'IS (Bull-Case)'!AE102-'IS (Base-Case)'!AE102</f>
        <v>0</v>
      </c>
      <c r="AF102" s="119">
        <f>'IS (Bull-Case)'!AF102-'IS (Base-Case)'!AF102</f>
        <v>0</v>
      </c>
      <c r="AG102" s="131">
        <f>'IS (Bull-Case)'!AG102-'IS (Base-Case)'!AG102</f>
        <v>0</v>
      </c>
      <c r="AH102" s="119">
        <f>'IS (Bull-Case)'!AH102-'IS (Base-Case)'!AH102</f>
        <v>0</v>
      </c>
      <c r="AI102" s="119">
        <f>'IS (Bull-Case)'!AI102-'IS (Base-Case)'!AI102</f>
        <v>0</v>
      </c>
      <c r="AJ102" s="119">
        <f>'IS (Bull-Case)'!AJ102-'IS (Base-Case)'!AJ102</f>
        <v>0</v>
      </c>
      <c r="AK102" s="119">
        <f>'IS (Bull-Case)'!AK102-'IS (Base-Case)'!AK102</f>
        <v>0</v>
      </c>
      <c r="AL102" s="131">
        <f>'IS (Bull-Case)'!AL102-'IS (Base-Case)'!AL102</f>
        <v>0</v>
      </c>
      <c r="AM102" s="119">
        <f>'IS (Bull-Case)'!AM102-'IS (Base-Case)'!AM102</f>
        <v>0</v>
      </c>
      <c r="AN102" s="119">
        <f>'IS (Bull-Case)'!AN102-'IS (Base-Case)'!AN102</f>
        <v>0</v>
      </c>
      <c r="AO102" s="119">
        <f>'IS (Bull-Case)'!AO102-'IS (Base-Case)'!AO102</f>
        <v>0</v>
      </c>
      <c r="AP102" s="119">
        <f>'IS (Bull-Case)'!AP102-'IS (Base-Case)'!AP102</f>
        <v>0</v>
      </c>
      <c r="AQ102" s="131">
        <f>'IS (Bull-Case)'!AQ102-'IS (Base-Case)'!AQ102</f>
        <v>0</v>
      </c>
      <c r="AR102" s="119">
        <f>'IS (Bull-Case)'!AR102-'IS (Base-Case)'!AR102</f>
        <v>0</v>
      </c>
      <c r="AS102" s="119">
        <f>'IS (Bull-Case)'!AS102-'IS (Base-Case)'!AS102</f>
        <v>0</v>
      </c>
      <c r="AT102" s="119">
        <f>'IS (Bull-Case)'!AT102-'IS (Base-Case)'!AT102</f>
        <v>0</v>
      </c>
      <c r="AU102" s="119">
        <f>'IS (Bull-Case)'!AU102-'IS (Base-Case)'!AU102</f>
        <v>0</v>
      </c>
      <c r="AV102" s="131">
        <f>'IS (Bull-Case)'!AV102-'IS (Base-Case)'!AV102</f>
        <v>0</v>
      </c>
    </row>
    <row r="103" spans="1:48" outlineLevel="1" x14ac:dyDescent="0.3">
      <c r="B103" s="46" t="s">
        <v>123</v>
      </c>
      <c r="C103" s="19"/>
      <c r="D103" s="103">
        <f>'IS (Bull-Case)'!D103-'IS (Base-Case)'!D103</f>
        <v>0</v>
      </c>
      <c r="E103" s="103">
        <f>'IS (Bull-Case)'!E103-'IS (Base-Case)'!E103</f>
        <v>0</v>
      </c>
      <c r="F103" s="103">
        <f>'IS (Bull-Case)'!F103-'IS (Base-Case)'!F103</f>
        <v>0</v>
      </c>
      <c r="G103" s="103">
        <f>'IS (Bull-Case)'!G103-'IS (Base-Case)'!G103</f>
        <v>0</v>
      </c>
      <c r="H103" s="171">
        <f>'IS (Bull-Case)'!H103-'IS (Base-Case)'!H103</f>
        <v>0</v>
      </c>
      <c r="I103" s="103">
        <f>'IS (Bull-Case)'!I103-'IS (Base-Case)'!I103</f>
        <v>0</v>
      </c>
      <c r="J103" s="103">
        <f>'IS (Bull-Case)'!J103-'IS (Base-Case)'!J103</f>
        <v>0</v>
      </c>
      <c r="K103" s="103">
        <f>'IS (Bull-Case)'!K103-'IS (Base-Case)'!K103</f>
        <v>0</v>
      </c>
      <c r="L103" s="103">
        <f>'IS (Bull-Case)'!L103-'IS (Base-Case)'!L103</f>
        <v>0</v>
      </c>
      <c r="M103" s="171">
        <f>'IS (Bull-Case)'!M103-'IS (Base-Case)'!M103</f>
        <v>0</v>
      </c>
      <c r="N103" s="103">
        <f>'IS (Bull-Case)'!N103-'IS (Base-Case)'!N103</f>
        <v>0</v>
      </c>
      <c r="O103" s="103">
        <f>'IS (Bull-Case)'!O103-'IS (Base-Case)'!O103</f>
        <v>0</v>
      </c>
      <c r="P103" s="103">
        <f>'IS (Bull-Case)'!P103-'IS (Base-Case)'!P103</f>
        <v>0</v>
      </c>
      <c r="Q103" s="103">
        <f>'IS (Bull-Case)'!Q103-'IS (Base-Case)'!Q103</f>
        <v>0</v>
      </c>
      <c r="R103" s="171">
        <f>'IS (Bull-Case)'!R103-'IS (Base-Case)'!R103</f>
        <v>0</v>
      </c>
      <c r="S103" s="103">
        <f>'IS (Bull-Case)'!S103-'IS (Base-Case)'!S103</f>
        <v>0</v>
      </c>
      <c r="T103" s="103">
        <f>'IS (Bull-Case)'!T103-'IS (Base-Case)'!T103</f>
        <v>0</v>
      </c>
      <c r="U103" s="103">
        <f>'IS (Bull-Case)'!U103-'IS (Base-Case)'!U103</f>
        <v>0</v>
      </c>
      <c r="V103" s="103">
        <f>'IS (Bull-Case)'!V103-'IS (Base-Case)'!V103</f>
        <v>0</v>
      </c>
      <c r="W103" s="171">
        <f>'IS (Bull-Case)'!W103-'IS (Base-Case)'!W103</f>
        <v>0</v>
      </c>
      <c r="X103" s="103">
        <f>'IS (Bull-Case)'!X103-'IS (Base-Case)'!X103</f>
        <v>0</v>
      </c>
      <c r="Y103" s="103">
        <f>'IS (Bull-Case)'!Y103-'IS (Base-Case)'!Y103</f>
        <v>2.2117360758784343E-3</v>
      </c>
      <c r="Z103" s="103">
        <f>'IS (Bull-Case)'!Z103-'IS (Base-Case)'!Z103</f>
        <v>1.970723658132556E-3</v>
      </c>
      <c r="AA103" s="103">
        <f>'IS (Bull-Case)'!AA103-'IS (Base-Case)'!AA103</f>
        <v>3.9409984228768735E-3</v>
      </c>
      <c r="AB103" s="171">
        <f>'IS (Bull-Case)'!AB103-'IS (Base-Case)'!AB103</f>
        <v>8.1234581566604902E-3</v>
      </c>
      <c r="AC103" s="103">
        <f>'IS (Bull-Case)'!AC103-'IS (Base-Case)'!AC103</f>
        <v>-4.9331289528709021E-4</v>
      </c>
      <c r="AD103" s="103">
        <f>'IS (Bull-Case)'!AD103-'IS (Base-Case)'!AD103</f>
        <v>4.8508940039937443E-4</v>
      </c>
      <c r="AE103" s="103">
        <f>'IS (Bull-Case)'!AE103-'IS (Base-Case)'!AE103</f>
        <v>3.3310913217974303E-3</v>
      </c>
      <c r="AF103" s="103">
        <f>'IS (Bull-Case)'!AF103-'IS (Base-Case)'!AF103</f>
        <v>7.6311344346322585E-3</v>
      </c>
      <c r="AG103" s="171">
        <f>'IS (Bull-Case)'!AG103-'IS (Base-Case)'!AG103</f>
        <v>1.0954002262224094E-2</v>
      </c>
      <c r="AH103" s="103">
        <f>'IS (Bull-Case)'!AH103-'IS (Base-Case)'!AH103</f>
        <v>-1.1585051615838893E-3</v>
      </c>
      <c r="AI103" s="103">
        <f>'IS (Bull-Case)'!AI103-'IS (Base-Case)'!AI103</f>
        <v>4.8214549042313593E-4</v>
      </c>
      <c r="AJ103" s="103">
        <f>'IS (Bull-Case)'!AJ103-'IS (Base-Case)'!AJ103</f>
        <v>5.5994840631683473E-3</v>
      </c>
      <c r="AK103" s="103">
        <f>'IS (Bull-Case)'!AK103-'IS (Base-Case)'!AK103</f>
        <v>1.1598311224588542E-2</v>
      </c>
      <c r="AL103" s="171">
        <f>'IS (Bull-Case)'!AL103-'IS (Base-Case)'!AL103</f>
        <v>1.6521435616596136E-2</v>
      </c>
      <c r="AM103" s="103">
        <f>'IS (Bull-Case)'!AM103-'IS (Base-Case)'!AM103</f>
        <v>-2.1617685260935104E-3</v>
      </c>
      <c r="AN103" s="103">
        <f>'IS (Bull-Case)'!AN103-'IS (Base-Case)'!AN103</f>
        <v>-6.0819283808086766E-3</v>
      </c>
      <c r="AO103" s="103">
        <f>'IS (Bull-Case)'!AO103-'IS (Base-Case)'!AO103</f>
        <v>-3.5927000785704877E-3</v>
      </c>
      <c r="AP103" s="103">
        <f>'IS (Bull-Case)'!AP103-'IS (Base-Case)'!AP103</f>
        <v>1.2162371849626652E-3</v>
      </c>
      <c r="AQ103" s="171">
        <f>'IS (Bull-Case)'!AQ103-'IS (Base-Case)'!AQ103</f>
        <v>-1.0620159800964757E-2</v>
      </c>
      <c r="AR103" s="103">
        <f>'IS (Bull-Case)'!AR103-'IS (Base-Case)'!AR103</f>
        <v>-1.4085585295561032E-2</v>
      </c>
      <c r="AS103" s="103">
        <f>'IS (Bull-Case)'!AS103-'IS (Base-Case)'!AS103</f>
        <v>-1.8111057628175331E-2</v>
      </c>
      <c r="AT103" s="103">
        <f>'IS (Bull-Case)'!AT103-'IS (Base-Case)'!AT103</f>
        <v>-1.512303600748055E-2</v>
      </c>
      <c r="AU103" s="103">
        <f>'IS (Bull-Case)'!AU103-'IS (Base-Case)'!AU103</f>
        <v>-9.7037127948169655E-3</v>
      </c>
      <c r="AV103" s="171">
        <f>'IS (Bull-Case)'!AV103-'IS (Base-Case)'!AV103</f>
        <v>-5.7023391726033879E-2</v>
      </c>
    </row>
    <row r="104" spans="1:48" ht="16.2" outlineLevel="1" x14ac:dyDescent="0.45">
      <c r="B104" s="180" t="s">
        <v>36</v>
      </c>
      <c r="C104" s="18"/>
      <c r="D104" s="119">
        <f>'IS (Bull-Case)'!D104-'IS (Base-Case)'!D104</f>
        <v>0</v>
      </c>
      <c r="E104" s="104">
        <f>'IS (Bull-Case)'!E104-'IS (Base-Case)'!E104</f>
        <v>0</v>
      </c>
      <c r="F104" s="104">
        <f>'IS (Bull-Case)'!F104-'IS (Base-Case)'!F104</f>
        <v>0</v>
      </c>
      <c r="G104" s="104">
        <f>'IS (Bull-Case)'!G104-'IS (Base-Case)'!G104</f>
        <v>0</v>
      </c>
      <c r="H104" s="214">
        <f>'IS (Bull-Case)'!H104-'IS (Base-Case)'!H104</f>
        <v>0</v>
      </c>
      <c r="I104" s="104">
        <f>'IS (Bull-Case)'!I104-'IS (Base-Case)'!I104</f>
        <v>0</v>
      </c>
      <c r="J104" s="104">
        <f>'IS (Bull-Case)'!J104-'IS (Base-Case)'!J104</f>
        <v>0</v>
      </c>
      <c r="K104" s="104">
        <f>'IS (Bull-Case)'!K104-'IS (Base-Case)'!K104</f>
        <v>0</v>
      </c>
      <c r="L104" s="104">
        <f>'IS (Bull-Case)'!L104-'IS (Base-Case)'!L104</f>
        <v>0</v>
      </c>
      <c r="M104" s="214">
        <f>'IS (Bull-Case)'!M104-'IS (Base-Case)'!M104</f>
        <v>0</v>
      </c>
      <c r="N104" s="104">
        <f>'IS (Bull-Case)'!N104-'IS (Base-Case)'!N104</f>
        <v>0</v>
      </c>
      <c r="O104" s="104">
        <f>'IS (Bull-Case)'!O104-'IS (Base-Case)'!O104</f>
        <v>0</v>
      </c>
      <c r="P104" s="104">
        <f>'IS (Bull-Case)'!P104-'IS (Base-Case)'!P104</f>
        <v>0</v>
      </c>
      <c r="Q104" s="104">
        <f>'IS (Bull-Case)'!Q104-'IS (Base-Case)'!Q104</f>
        <v>0</v>
      </c>
      <c r="R104" s="193">
        <f>'IS (Bull-Case)'!R104-'IS (Base-Case)'!R104</f>
        <v>0</v>
      </c>
      <c r="S104" s="104">
        <f>'IS (Bull-Case)'!S104-'IS (Base-Case)'!S104</f>
        <v>0</v>
      </c>
      <c r="T104" s="104">
        <f>'IS (Bull-Case)'!T104-'IS (Base-Case)'!T104</f>
        <v>0</v>
      </c>
      <c r="U104" s="104">
        <f>'IS (Bull-Case)'!U104-'IS (Base-Case)'!U104</f>
        <v>0</v>
      </c>
      <c r="V104" s="56">
        <f>'IS (Bull-Case)'!V104-'IS (Base-Case)'!V104</f>
        <v>0</v>
      </c>
      <c r="W104" s="193">
        <f>'IS (Bull-Case)'!W104-'IS (Base-Case)'!W104</f>
        <v>0</v>
      </c>
      <c r="X104" s="56">
        <f>'IS (Bull-Case)'!X104-'IS (Base-Case)'!X104</f>
        <v>0</v>
      </c>
      <c r="Y104" s="56">
        <f>'IS (Bull-Case)'!Y104-'IS (Base-Case)'!Y104</f>
        <v>0</v>
      </c>
      <c r="Z104" s="56">
        <f>'IS (Bull-Case)'!Z104-'IS (Base-Case)'!Z104</f>
        <v>0</v>
      </c>
      <c r="AA104" s="56">
        <f>'IS (Bull-Case)'!AA104-'IS (Base-Case)'!AA104</f>
        <v>0</v>
      </c>
      <c r="AB104" s="193">
        <f>'IS (Bull-Case)'!AB104-'IS (Base-Case)'!AB104</f>
        <v>0</v>
      </c>
      <c r="AC104" s="56">
        <f>'IS (Bull-Case)'!AC104-'IS (Base-Case)'!AC104</f>
        <v>0</v>
      </c>
      <c r="AD104" s="56">
        <f>'IS (Bull-Case)'!AD104-'IS (Base-Case)'!AD104</f>
        <v>0</v>
      </c>
      <c r="AE104" s="56">
        <f>'IS (Bull-Case)'!AE104-'IS (Base-Case)'!AE104</f>
        <v>0</v>
      </c>
      <c r="AF104" s="56">
        <f>'IS (Bull-Case)'!AF104-'IS (Base-Case)'!AF104</f>
        <v>0</v>
      </c>
      <c r="AG104" s="193">
        <f>'IS (Bull-Case)'!AG104-'IS (Base-Case)'!AG104</f>
        <v>0</v>
      </c>
      <c r="AH104" s="56">
        <f>'IS (Bull-Case)'!AH104-'IS (Base-Case)'!AH104</f>
        <v>0</v>
      </c>
      <c r="AI104" s="56">
        <f>'IS (Bull-Case)'!AI104-'IS (Base-Case)'!AI104</f>
        <v>0</v>
      </c>
      <c r="AJ104" s="56">
        <f>'IS (Bull-Case)'!AJ104-'IS (Base-Case)'!AJ104</f>
        <v>0</v>
      </c>
      <c r="AK104" s="56">
        <f>'IS (Bull-Case)'!AK104-'IS (Base-Case)'!AK104</f>
        <v>0</v>
      </c>
      <c r="AL104" s="193">
        <f>'IS (Bull-Case)'!AL104-'IS (Base-Case)'!AL104</f>
        <v>0</v>
      </c>
      <c r="AM104" s="56">
        <f>'IS (Bull-Case)'!AM104-'IS (Base-Case)'!AM104</f>
        <v>0</v>
      </c>
      <c r="AN104" s="56">
        <f>'IS (Bull-Case)'!AN104-'IS (Base-Case)'!AN104</f>
        <v>0</v>
      </c>
      <c r="AO104" s="56">
        <f>'IS (Bull-Case)'!AO104-'IS (Base-Case)'!AO104</f>
        <v>0</v>
      </c>
      <c r="AP104" s="56">
        <f>'IS (Bull-Case)'!AP104-'IS (Base-Case)'!AP104</f>
        <v>0</v>
      </c>
      <c r="AQ104" s="193">
        <f>'IS (Bull-Case)'!AQ104-'IS (Base-Case)'!AQ104</f>
        <v>0</v>
      </c>
      <c r="AR104" s="56">
        <f>'IS (Bull-Case)'!AR104-'IS (Base-Case)'!AR104</f>
        <v>0</v>
      </c>
      <c r="AS104" s="56">
        <f>'IS (Bull-Case)'!AS104-'IS (Base-Case)'!AS104</f>
        <v>0</v>
      </c>
      <c r="AT104" s="56">
        <f>'IS (Bull-Case)'!AT104-'IS (Base-Case)'!AT104</f>
        <v>0</v>
      </c>
      <c r="AU104" s="56">
        <f>'IS (Bull-Case)'!AU104-'IS (Base-Case)'!AU104</f>
        <v>0</v>
      </c>
      <c r="AV104" s="193">
        <f>'IS (Bull-Case)'!AV104-'IS (Base-Case)'!AV104</f>
        <v>0</v>
      </c>
    </row>
    <row r="105" spans="1:48" outlineLevel="1" x14ac:dyDescent="0.3">
      <c r="B105" s="46" t="s">
        <v>124</v>
      </c>
      <c r="C105" s="44"/>
      <c r="D105" s="156">
        <f>'IS (Bull-Case)'!D105-'IS (Base-Case)'!D105</f>
        <v>0</v>
      </c>
      <c r="E105" s="156">
        <f>'IS (Bull-Case)'!E105-'IS (Base-Case)'!E105</f>
        <v>0</v>
      </c>
      <c r="F105" s="156">
        <f>'IS (Bull-Case)'!F105-'IS (Base-Case)'!F105</f>
        <v>0</v>
      </c>
      <c r="G105" s="156">
        <f>'IS (Bull-Case)'!G105-'IS (Base-Case)'!G105</f>
        <v>0</v>
      </c>
      <c r="H105" s="132">
        <f>'IS (Bull-Case)'!H105-'IS (Base-Case)'!H105</f>
        <v>0</v>
      </c>
      <c r="I105" s="156">
        <f>'IS (Bull-Case)'!I105-'IS (Base-Case)'!I105</f>
        <v>0</v>
      </c>
      <c r="J105" s="156">
        <f>'IS (Bull-Case)'!J105-'IS (Base-Case)'!J105</f>
        <v>0</v>
      </c>
      <c r="K105" s="156">
        <f>'IS (Bull-Case)'!K105-'IS (Base-Case)'!K105</f>
        <v>0</v>
      </c>
      <c r="L105" s="156">
        <f>'IS (Bull-Case)'!L105-'IS (Base-Case)'!L105</f>
        <v>0</v>
      </c>
      <c r="M105" s="132">
        <f>'IS (Bull-Case)'!M105-'IS (Base-Case)'!M105</f>
        <v>0</v>
      </c>
      <c r="N105" s="156">
        <f>'IS (Bull-Case)'!N105-'IS (Base-Case)'!N105</f>
        <v>0</v>
      </c>
      <c r="O105" s="156">
        <f>'IS (Bull-Case)'!O105-'IS (Base-Case)'!O105</f>
        <v>0</v>
      </c>
      <c r="P105" s="156">
        <f>'IS (Bull-Case)'!P105-'IS (Base-Case)'!P105</f>
        <v>0</v>
      </c>
      <c r="Q105" s="156">
        <f>'IS (Bull-Case)'!Q105-'IS (Base-Case)'!Q105</f>
        <v>0</v>
      </c>
      <c r="R105" s="97">
        <f>'IS (Bull-Case)'!R105-'IS (Base-Case)'!R105</f>
        <v>0</v>
      </c>
      <c r="S105" s="74">
        <f>'IS (Bull-Case)'!S105-'IS (Base-Case)'!S105</f>
        <v>0</v>
      </c>
      <c r="T105" s="74">
        <f>'IS (Bull-Case)'!T105-'IS (Base-Case)'!T105</f>
        <v>0</v>
      </c>
      <c r="U105" s="74">
        <f>'IS (Bull-Case)'!U105-'IS (Base-Case)'!U105</f>
        <v>0</v>
      </c>
      <c r="V105" s="74">
        <f>'IS (Bull-Case)'!V105-'IS (Base-Case)'!V105</f>
        <v>0</v>
      </c>
      <c r="W105" s="97">
        <f>'IS (Bull-Case)'!W105-'IS (Base-Case)'!W105</f>
        <v>0</v>
      </c>
      <c r="X105" s="74">
        <f>'IS (Bull-Case)'!X105-'IS (Base-Case)'!X105</f>
        <v>0</v>
      </c>
      <c r="Y105" s="74">
        <f>'IS (Bull-Case)'!Y105-'IS (Base-Case)'!Y105</f>
        <v>-2.2117360758784343E-3</v>
      </c>
      <c r="Z105" s="74">
        <f>'IS (Bull-Case)'!Z105-'IS (Base-Case)'!Z105</f>
        <v>-1.970723658132556E-3</v>
      </c>
      <c r="AA105" s="74">
        <f>'IS (Bull-Case)'!AA105-'IS (Base-Case)'!AA105</f>
        <v>-3.9409984228768735E-3</v>
      </c>
      <c r="AB105" s="97">
        <f>'IS (Bull-Case)'!AB105-'IS (Base-Case)'!AB105</f>
        <v>-8.1234581568878639E-3</v>
      </c>
      <c r="AC105" s="74">
        <f>'IS (Bull-Case)'!AC105-'IS (Base-Case)'!AC105</f>
        <v>4.9331289528709021E-4</v>
      </c>
      <c r="AD105" s="74">
        <f>'IS (Bull-Case)'!AD105-'IS (Base-Case)'!AD105</f>
        <v>-4.8508940039937443E-4</v>
      </c>
      <c r="AE105" s="74">
        <f>'IS (Bull-Case)'!AE105-'IS (Base-Case)'!AE105</f>
        <v>-3.3310913217974303E-3</v>
      </c>
      <c r="AF105" s="74">
        <f>'IS (Bull-Case)'!AF105-'IS (Base-Case)'!AF105</f>
        <v>-7.6311344346322585E-3</v>
      </c>
      <c r="AG105" s="97">
        <f>'IS (Bull-Case)'!AG105-'IS (Base-Case)'!AG105</f>
        <v>-1.0954002261541973E-2</v>
      </c>
      <c r="AH105" s="74">
        <f>'IS (Bull-Case)'!AH105-'IS (Base-Case)'!AH105</f>
        <v>1.1585051615838893E-3</v>
      </c>
      <c r="AI105" s="74">
        <f>'IS (Bull-Case)'!AI105-'IS (Base-Case)'!AI105</f>
        <v>-4.8214549042313593E-4</v>
      </c>
      <c r="AJ105" s="74">
        <f>'IS (Bull-Case)'!AJ105-'IS (Base-Case)'!AJ105</f>
        <v>-5.5994840631683473E-3</v>
      </c>
      <c r="AK105" s="74">
        <f>'IS (Bull-Case)'!AK105-'IS (Base-Case)'!AK105</f>
        <v>-1.1598311224588542E-2</v>
      </c>
      <c r="AL105" s="97">
        <f>'IS (Bull-Case)'!AL105-'IS (Base-Case)'!AL105</f>
        <v>-1.6521435616596136E-2</v>
      </c>
      <c r="AM105" s="74">
        <f>'IS (Bull-Case)'!AM105-'IS (Base-Case)'!AM105</f>
        <v>2.1617685260935104E-3</v>
      </c>
      <c r="AN105" s="74">
        <f>'IS (Bull-Case)'!AN105-'IS (Base-Case)'!AN105</f>
        <v>6.0819283808086766E-3</v>
      </c>
      <c r="AO105" s="74">
        <f>'IS (Bull-Case)'!AO105-'IS (Base-Case)'!AO105</f>
        <v>3.5927000785704877E-3</v>
      </c>
      <c r="AP105" s="74">
        <f>'IS (Bull-Case)'!AP105-'IS (Base-Case)'!AP105</f>
        <v>-1.2162371849626652E-3</v>
      </c>
      <c r="AQ105" s="97">
        <f>'IS (Bull-Case)'!AQ105-'IS (Base-Case)'!AQ105</f>
        <v>1.062015980051001E-2</v>
      </c>
      <c r="AR105" s="74">
        <f>'IS (Bull-Case)'!AR105-'IS (Base-Case)'!AR105</f>
        <v>1.4085585295561032E-2</v>
      </c>
      <c r="AS105" s="74">
        <f>'IS (Bull-Case)'!AS105-'IS (Base-Case)'!AS105</f>
        <v>1.8111057628175331E-2</v>
      </c>
      <c r="AT105" s="74">
        <f>'IS (Bull-Case)'!AT105-'IS (Base-Case)'!AT105</f>
        <v>1.512303600748055E-2</v>
      </c>
      <c r="AU105" s="74">
        <f>'IS (Bull-Case)'!AU105-'IS (Base-Case)'!AU105</f>
        <v>9.7037127948169655E-3</v>
      </c>
      <c r="AV105" s="97">
        <f>'IS (Bull-Case)'!AV105-'IS (Base-Case)'!AV105</f>
        <v>5.7023391726033879E-2</v>
      </c>
    </row>
    <row r="106" spans="1:48" outlineLevel="1" x14ac:dyDescent="0.3">
      <c r="B106" s="46" t="s">
        <v>125</v>
      </c>
      <c r="C106" s="44"/>
      <c r="D106" s="157">
        <f>'IS (Bull-Case)'!D106-'IS (Base-Case)'!D106</f>
        <v>0</v>
      </c>
      <c r="E106" s="157">
        <f>'IS (Bull-Case)'!E106-'IS (Base-Case)'!E106</f>
        <v>0</v>
      </c>
      <c r="F106" s="157">
        <f>'IS (Bull-Case)'!F106-'IS (Base-Case)'!F106</f>
        <v>0</v>
      </c>
      <c r="G106" s="157">
        <f>'IS (Bull-Case)'!G106-'IS (Base-Case)'!G106</f>
        <v>0</v>
      </c>
      <c r="H106" s="133">
        <f>'IS (Bull-Case)'!H106-'IS (Base-Case)'!H106</f>
        <v>0</v>
      </c>
      <c r="I106" s="157">
        <f>'IS (Bull-Case)'!I106-'IS (Base-Case)'!I106</f>
        <v>0</v>
      </c>
      <c r="J106" s="157">
        <f>'IS (Bull-Case)'!J106-'IS (Base-Case)'!J106</f>
        <v>0</v>
      </c>
      <c r="K106" s="157">
        <f>'IS (Bull-Case)'!K106-'IS (Base-Case)'!K106</f>
        <v>0</v>
      </c>
      <c r="L106" s="157">
        <f>'IS (Bull-Case)'!L106-'IS (Base-Case)'!L106</f>
        <v>0</v>
      </c>
      <c r="M106" s="133">
        <f>'IS (Bull-Case)'!M106-'IS (Base-Case)'!M106</f>
        <v>0</v>
      </c>
      <c r="N106" s="157">
        <f>'IS (Bull-Case)'!N106-'IS (Base-Case)'!N106</f>
        <v>0</v>
      </c>
      <c r="O106" s="157">
        <f>'IS (Bull-Case)'!O106-'IS (Base-Case)'!O106</f>
        <v>0</v>
      </c>
      <c r="P106" s="157">
        <f>'IS (Bull-Case)'!P106-'IS (Base-Case)'!P106</f>
        <v>0</v>
      </c>
      <c r="Q106" s="157">
        <f>'IS (Bull-Case)'!Q106-'IS (Base-Case)'!Q106</f>
        <v>0</v>
      </c>
      <c r="R106" s="98">
        <f>'IS (Bull-Case)'!R106-'IS (Base-Case)'!R106</f>
        <v>0</v>
      </c>
      <c r="S106" s="75">
        <f>'IS (Bull-Case)'!S106-'IS (Base-Case)'!S106</f>
        <v>0</v>
      </c>
      <c r="T106" s="75">
        <f>'IS (Bull-Case)'!T106-'IS (Base-Case)'!T106</f>
        <v>0</v>
      </c>
      <c r="U106" s="75">
        <f>'IS (Bull-Case)'!U106-'IS (Base-Case)'!U106</f>
        <v>0</v>
      </c>
      <c r="V106" s="75">
        <f>'IS (Bull-Case)'!V106-'IS (Base-Case)'!V106</f>
        <v>0</v>
      </c>
      <c r="W106" s="98">
        <f>'IS (Bull-Case)'!W106-'IS (Base-Case)'!W106</f>
        <v>0</v>
      </c>
      <c r="X106" s="75">
        <f>'IS (Bull-Case)'!X106-'IS (Base-Case)'!X106</f>
        <v>0</v>
      </c>
      <c r="Y106" s="75">
        <f>'IS (Bull-Case)'!Y106-'IS (Base-Case)'!Y106</f>
        <v>-1.1851500532900072E-6</v>
      </c>
      <c r="Z106" s="75">
        <f>'IS (Bull-Case)'!Z106-'IS (Base-Case)'!Z106</f>
        <v>-9.3335173552422379E-7</v>
      </c>
      <c r="AA106" s="75">
        <f>'IS (Bull-Case)'!AA106-'IS (Base-Case)'!AA106</f>
        <v>-1.6093564169927799E-6</v>
      </c>
      <c r="AB106" s="98">
        <f>'IS (Bull-Case)'!AB106-'IS (Base-Case)'!AB106</f>
        <v>-9.8040039320235195E-7</v>
      </c>
      <c r="AC106" s="75">
        <f>'IS (Bull-Case)'!AC106-'IS (Base-Case)'!AC106</f>
        <v>2.0389725294278627E-7</v>
      </c>
      <c r="AD106" s="75">
        <f>'IS (Bull-Case)'!AD106-'IS (Base-Case)'!AD106</f>
        <v>-2.2188602047390482E-7</v>
      </c>
      <c r="AE106" s="75">
        <f>'IS (Bull-Case)'!AE106-'IS (Base-Case)'!AE106</f>
        <v>-1.3497396555567365E-6</v>
      </c>
      <c r="AF106" s="75">
        <f>'IS (Bull-Case)'!AF106-'IS (Base-Case)'!AF106</f>
        <v>-2.6679546819563527E-6</v>
      </c>
      <c r="AG106" s="98">
        <f>'IS (Bull-Case)'!AG106-'IS (Base-Case)'!AG106</f>
        <v>-1.102691915472187E-6</v>
      </c>
      <c r="AH106" s="75">
        <f>'IS (Bull-Case)'!AH106-'IS (Base-Case)'!AH106</f>
        <v>4.1030096639693703E-7</v>
      </c>
      <c r="AI106" s="75">
        <f>'IS (Bull-Case)'!AI106-'IS (Base-Case)'!AI106</f>
        <v>-1.8947698607330032E-7</v>
      </c>
      <c r="AJ106" s="75">
        <f>'IS (Bull-Case)'!AJ106-'IS (Base-Case)'!AJ106</f>
        <v>-1.953988464920009E-6</v>
      </c>
      <c r="AK106" s="75">
        <f>'IS (Bull-Case)'!AK106-'IS (Base-Case)'!AK106</f>
        <v>-3.494437641332615E-6</v>
      </c>
      <c r="AL106" s="98">
        <f>'IS (Bull-Case)'!AL106-'IS (Base-Case)'!AL106</f>
        <v>-1.4300671385414354E-6</v>
      </c>
      <c r="AM106" s="75">
        <f>'IS (Bull-Case)'!AM106-'IS (Base-Case)'!AM106</f>
        <v>6.6601838286106663E-7</v>
      </c>
      <c r="AN106" s="75">
        <f>'IS (Bull-Case)'!AN106-'IS (Base-Case)'!AN106</f>
        <v>2.1116098812279382E-6</v>
      </c>
      <c r="AO106" s="75">
        <f>'IS (Bull-Case)'!AO106-'IS (Base-Case)'!AO106</f>
        <v>1.1241343499945877E-6</v>
      </c>
      <c r="AP106" s="75">
        <f>'IS (Bull-Case)'!AP106-'IS (Base-Case)'!AP106</f>
        <v>-3.3290333448232623E-7</v>
      </c>
      <c r="AQ106" s="98">
        <f>'IS (Bull-Case)'!AQ106-'IS (Base-Case)'!AQ106</f>
        <v>8.1848186606059414E-7</v>
      </c>
      <c r="AR106" s="75">
        <f>'IS (Bull-Case)'!AR106-'IS (Base-Case)'!AR106</f>
        <v>4.0480881791371548E-6</v>
      </c>
      <c r="AS106" s="75">
        <f>'IS (Bull-Case)'!AS106-'IS (Base-Case)'!AS106</f>
        <v>5.871692785819338E-6</v>
      </c>
      <c r="AT106" s="75">
        <f>'IS (Bull-Case)'!AT106-'IS (Base-Case)'!AT106</f>
        <v>4.4218181231014952E-6</v>
      </c>
      <c r="AU106" s="75">
        <f>'IS (Bull-Case)'!AU106-'IS (Base-Case)'!AU106</f>
        <v>2.4806214437289587E-6</v>
      </c>
      <c r="AV106" s="98">
        <f>'IS (Bull-Case)'!AV106-'IS (Base-Case)'!AV106</f>
        <v>4.1036020342610779E-6</v>
      </c>
    </row>
    <row r="107" spans="1:48" ht="17.399999999999999" x14ac:dyDescent="0.45">
      <c r="B107" s="433" t="s">
        <v>51</v>
      </c>
      <c r="C107" s="434"/>
      <c r="D107" s="14" t="s">
        <v>19</v>
      </c>
      <c r="E107" s="14" t="s">
        <v>81</v>
      </c>
      <c r="F107" s="14" t="s">
        <v>85</v>
      </c>
      <c r="G107" s="14" t="s">
        <v>95</v>
      </c>
      <c r="H107" s="40" t="s">
        <v>96</v>
      </c>
      <c r="I107" s="14" t="s">
        <v>97</v>
      </c>
      <c r="J107" s="14" t="s">
        <v>98</v>
      </c>
      <c r="K107" s="14" t="s">
        <v>99</v>
      </c>
      <c r="L107" s="14" t="s">
        <v>142</v>
      </c>
      <c r="M107" s="40" t="s">
        <v>143</v>
      </c>
      <c r="N107" s="14" t="s">
        <v>149</v>
      </c>
      <c r="O107" s="14" t="s">
        <v>157</v>
      </c>
      <c r="P107" s="14" t="s">
        <v>159</v>
      </c>
      <c r="Q107" s="14" t="s">
        <v>172</v>
      </c>
      <c r="R107" s="40" t="s">
        <v>173</v>
      </c>
      <c r="S107" s="14" t="s">
        <v>188</v>
      </c>
      <c r="T107" s="14" t="s">
        <v>189</v>
      </c>
      <c r="U107" s="14" t="s">
        <v>204</v>
      </c>
      <c r="V107" s="12" t="s">
        <v>25</v>
      </c>
      <c r="W107" s="42" t="s">
        <v>26</v>
      </c>
      <c r="X107" s="12" t="s">
        <v>27</v>
      </c>
      <c r="Y107" s="12" t="s">
        <v>28</v>
      </c>
      <c r="Z107" s="12" t="s">
        <v>29</v>
      </c>
      <c r="AA107" s="12" t="s">
        <v>30</v>
      </c>
      <c r="AB107" s="42" t="s">
        <v>31</v>
      </c>
      <c r="AC107" s="12" t="s">
        <v>90</v>
      </c>
      <c r="AD107" s="12" t="s">
        <v>91</v>
      </c>
      <c r="AE107" s="12" t="s">
        <v>92</v>
      </c>
      <c r="AF107" s="12" t="s">
        <v>93</v>
      </c>
      <c r="AG107" s="42" t="s">
        <v>94</v>
      </c>
      <c r="AH107" s="12" t="s">
        <v>109</v>
      </c>
      <c r="AI107" s="12" t="s">
        <v>110</v>
      </c>
      <c r="AJ107" s="12" t="s">
        <v>111</v>
      </c>
      <c r="AK107" s="12" t="s">
        <v>112</v>
      </c>
      <c r="AL107" s="42" t="s">
        <v>113</v>
      </c>
      <c r="AM107" s="12" t="s">
        <v>164</v>
      </c>
      <c r="AN107" s="12" t="s">
        <v>165</v>
      </c>
      <c r="AO107" s="12" t="s">
        <v>166</v>
      </c>
      <c r="AP107" s="12" t="s">
        <v>167</v>
      </c>
      <c r="AQ107" s="42" t="s">
        <v>168</v>
      </c>
      <c r="AR107" s="12" t="s">
        <v>195</v>
      </c>
      <c r="AS107" s="12" t="s">
        <v>196</v>
      </c>
      <c r="AT107" s="12" t="s">
        <v>197</v>
      </c>
      <c r="AU107" s="12" t="s">
        <v>198</v>
      </c>
      <c r="AV107" s="42" t="s">
        <v>199</v>
      </c>
    </row>
    <row r="108" spans="1:48" s="8" customFormat="1" outlineLevel="1" x14ac:dyDescent="0.3">
      <c r="B108" s="445" t="s">
        <v>126</v>
      </c>
      <c r="C108" s="446"/>
      <c r="D108" s="50">
        <f>'IS (Bull-Case)'!D108-'IS (Base-Case)'!D108</f>
        <v>0</v>
      </c>
      <c r="E108" s="50">
        <f>'IS (Bull-Case)'!E108-'IS (Base-Case)'!E108</f>
        <v>0</v>
      </c>
      <c r="F108" s="103">
        <f>'IS (Bull-Case)'!F108-'IS (Base-Case)'!F108</f>
        <v>0</v>
      </c>
      <c r="G108" s="50">
        <f>'IS (Bull-Case)'!G108-'IS (Base-Case)'!G108</f>
        <v>0</v>
      </c>
      <c r="H108" s="31">
        <f>'IS (Bull-Case)'!H108-'IS (Base-Case)'!H108</f>
        <v>0</v>
      </c>
      <c r="I108" s="50">
        <f>'IS (Bull-Case)'!I108-'IS (Base-Case)'!I108</f>
        <v>0</v>
      </c>
      <c r="J108" s="50">
        <f>'IS (Bull-Case)'!J108-'IS (Base-Case)'!J108</f>
        <v>0</v>
      </c>
      <c r="K108" s="50">
        <f>'IS (Bull-Case)'!K108-'IS (Base-Case)'!K108</f>
        <v>0</v>
      </c>
      <c r="L108" s="50">
        <f>'IS (Bull-Case)'!L108-'IS (Base-Case)'!L108</f>
        <v>0</v>
      </c>
      <c r="M108" s="31">
        <f>'IS (Bull-Case)'!M108-'IS (Base-Case)'!M108</f>
        <v>0</v>
      </c>
      <c r="N108" s="50">
        <f>'IS (Bull-Case)'!N108-'IS (Base-Case)'!N108</f>
        <v>0</v>
      </c>
      <c r="O108" s="50">
        <f>'IS (Bull-Case)'!O108-'IS (Base-Case)'!O108</f>
        <v>0</v>
      </c>
      <c r="P108" s="50">
        <f>'IS (Bull-Case)'!P108-'IS (Base-Case)'!P108</f>
        <v>0</v>
      </c>
      <c r="Q108" s="103">
        <f>'IS (Bull-Case)'!Q108-'IS (Base-Case)'!Q108</f>
        <v>0</v>
      </c>
      <c r="R108" s="126">
        <f>'IS (Bull-Case)'!R108-'IS (Base-Case)'!R108</f>
        <v>0</v>
      </c>
      <c r="S108" s="50">
        <f>'IS (Bull-Case)'!S108-'IS (Base-Case)'!S108</f>
        <v>0</v>
      </c>
      <c r="T108" s="50">
        <f>'IS (Bull-Case)'!T108-'IS (Base-Case)'!T108</f>
        <v>0</v>
      </c>
      <c r="U108" s="50">
        <f>'IS (Bull-Case)'!U108-'IS (Base-Case)'!U108</f>
        <v>0</v>
      </c>
      <c r="V108" s="50">
        <f>'IS (Bull-Case)'!V108-'IS (Base-Case)'!V108</f>
        <v>0</v>
      </c>
      <c r="W108" s="31">
        <f>'IS (Bull-Case)'!W108-'IS (Base-Case)'!W108</f>
        <v>0</v>
      </c>
      <c r="X108" s="50">
        <f>'IS (Bull-Case)'!X108-'IS (Base-Case)'!X108</f>
        <v>0</v>
      </c>
      <c r="Y108" s="50">
        <f>'IS (Bull-Case)'!Y108-'IS (Base-Case)'!Y108</f>
        <v>0</v>
      </c>
      <c r="Z108" s="50">
        <f>'IS (Bull-Case)'!Z108-'IS (Base-Case)'!Z108</f>
        <v>0</v>
      </c>
      <c r="AA108" s="50">
        <f>'IS (Bull-Case)'!AA108-'IS (Base-Case)'!AA108</f>
        <v>0</v>
      </c>
      <c r="AB108" s="31">
        <f>'IS (Bull-Case)'!AB108-'IS (Base-Case)'!AB108</f>
        <v>0</v>
      </c>
      <c r="AC108" s="50">
        <f>'IS (Bull-Case)'!AC108-'IS (Base-Case)'!AC108</f>
        <v>0</v>
      </c>
      <c r="AD108" s="50">
        <f>'IS (Bull-Case)'!AD108-'IS (Base-Case)'!AD108</f>
        <v>0</v>
      </c>
      <c r="AE108" s="50">
        <f>'IS (Bull-Case)'!AE108-'IS (Base-Case)'!AE108</f>
        <v>0</v>
      </c>
      <c r="AF108" s="50">
        <f>'IS (Bull-Case)'!AF108-'IS (Base-Case)'!AF108</f>
        <v>0</v>
      </c>
      <c r="AG108" s="31">
        <f>'IS (Bull-Case)'!AG108-'IS (Base-Case)'!AG108</f>
        <v>0</v>
      </c>
      <c r="AH108" s="50">
        <f>'IS (Bull-Case)'!AH108-'IS (Base-Case)'!AH108</f>
        <v>0</v>
      </c>
      <c r="AI108" s="50">
        <f>'IS (Bull-Case)'!AI108-'IS (Base-Case)'!AI108</f>
        <v>0</v>
      </c>
      <c r="AJ108" s="50">
        <f>'IS (Bull-Case)'!AJ108-'IS (Base-Case)'!AJ108</f>
        <v>0</v>
      </c>
      <c r="AK108" s="50">
        <f>'IS (Bull-Case)'!AK108-'IS (Base-Case)'!AK108</f>
        <v>0</v>
      </c>
      <c r="AL108" s="31">
        <f>'IS (Bull-Case)'!AL108-'IS (Base-Case)'!AL108</f>
        <v>0</v>
      </c>
      <c r="AM108" s="50">
        <f>'IS (Bull-Case)'!AM108-'IS (Base-Case)'!AM108</f>
        <v>0</v>
      </c>
      <c r="AN108" s="50">
        <f>'IS (Bull-Case)'!AN108-'IS (Base-Case)'!AN108</f>
        <v>0</v>
      </c>
      <c r="AO108" s="50">
        <f>'IS (Bull-Case)'!AO108-'IS (Base-Case)'!AO108</f>
        <v>0</v>
      </c>
      <c r="AP108" s="50">
        <f>'IS (Bull-Case)'!AP108-'IS (Base-Case)'!AP108</f>
        <v>0</v>
      </c>
      <c r="AQ108" s="31">
        <f>'IS (Bull-Case)'!AQ108-'IS (Base-Case)'!AQ108</f>
        <v>0</v>
      </c>
      <c r="AR108" s="50">
        <f>'IS (Bull-Case)'!AR108-'IS (Base-Case)'!AR108</f>
        <v>0</v>
      </c>
      <c r="AS108" s="50">
        <f>'IS (Bull-Case)'!AS108-'IS (Base-Case)'!AS108</f>
        <v>0</v>
      </c>
      <c r="AT108" s="50">
        <f>'IS (Bull-Case)'!AT108-'IS (Base-Case)'!AT108</f>
        <v>0</v>
      </c>
      <c r="AU108" s="50">
        <f>'IS (Bull-Case)'!AU108-'IS (Base-Case)'!AU108</f>
        <v>0</v>
      </c>
      <c r="AV108" s="31">
        <f>'IS (Bull-Case)'!AV108-'IS (Base-Case)'!AV108</f>
        <v>0</v>
      </c>
    </row>
    <row r="109" spans="1:48" outlineLevel="1" x14ac:dyDescent="0.3">
      <c r="B109" s="69" t="s">
        <v>58</v>
      </c>
      <c r="C109" s="70"/>
      <c r="D109" s="120">
        <f>'IS (Bull-Case)'!D109-'IS (Base-Case)'!D109</f>
        <v>0</v>
      </c>
      <c r="E109" s="120">
        <f>'IS (Bull-Case)'!E109-'IS (Base-Case)'!E109</f>
        <v>0</v>
      </c>
      <c r="F109" s="120">
        <f>'IS (Bull-Case)'!F109-'IS (Base-Case)'!F109</f>
        <v>0</v>
      </c>
      <c r="G109" s="120">
        <f>'IS (Bull-Case)'!G109-'IS (Base-Case)'!G109</f>
        <v>0</v>
      </c>
      <c r="H109" s="58">
        <f>'IS (Bull-Case)'!H109-'IS (Base-Case)'!H109</f>
        <v>0</v>
      </c>
      <c r="I109" s="120">
        <f>'IS (Bull-Case)'!I109-'IS (Base-Case)'!I109</f>
        <v>0</v>
      </c>
      <c r="J109" s="120">
        <f>'IS (Bull-Case)'!J109-'IS (Base-Case)'!J109</f>
        <v>0</v>
      </c>
      <c r="K109" s="120">
        <f>'IS (Bull-Case)'!K109-'IS (Base-Case)'!K109</f>
        <v>0</v>
      </c>
      <c r="L109" s="120">
        <f>'IS (Bull-Case)'!L109-'IS (Base-Case)'!L109</f>
        <v>0</v>
      </c>
      <c r="M109" s="168">
        <f>'IS (Bull-Case)'!M109-'IS (Base-Case)'!M109</f>
        <v>0</v>
      </c>
      <c r="N109" s="120">
        <f>'IS (Bull-Case)'!N109-'IS (Base-Case)'!N109</f>
        <v>0</v>
      </c>
      <c r="O109" s="120">
        <f>'IS (Bull-Case)'!O109-'IS (Base-Case)'!O109</f>
        <v>0</v>
      </c>
      <c r="P109" s="120">
        <f>'IS (Bull-Case)'!P109-'IS (Base-Case)'!P109</f>
        <v>0</v>
      </c>
      <c r="Q109" s="120">
        <f>'IS (Bull-Case)'!Q109-'IS (Base-Case)'!Q109</f>
        <v>0</v>
      </c>
      <c r="R109" s="168">
        <f>'IS (Bull-Case)'!R109-'IS (Base-Case)'!R109</f>
        <v>0</v>
      </c>
      <c r="S109" s="120">
        <f>'IS (Bull-Case)'!S109-'IS (Base-Case)'!S109</f>
        <v>0</v>
      </c>
      <c r="T109" s="120">
        <f>'IS (Bull-Case)'!T109-'IS (Base-Case)'!T109</f>
        <v>0</v>
      </c>
      <c r="U109" s="120">
        <f>'IS (Bull-Case)'!U109-'IS (Base-Case)'!U109</f>
        <v>0</v>
      </c>
      <c r="V109" s="197">
        <f>'IS (Bull-Case)'!V109-'IS (Base-Case)'!V109</f>
        <v>0</v>
      </c>
      <c r="W109" s="168">
        <f>'IS (Bull-Case)'!W109-'IS (Base-Case)'!W109</f>
        <v>0</v>
      </c>
      <c r="X109" s="197">
        <f>'IS (Bull-Case)'!X109-'IS (Base-Case)'!X109</f>
        <v>0</v>
      </c>
      <c r="Y109" s="197">
        <f>'IS (Bull-Case)'!Y109-'IS (Base-Case)'!Y109</f>
        <v>0</v>
      </c>
      <c r="Z109" s="197">
        <f>'IS (Bull-Case)'!Z109-'IS (Base-Case)'!Z109</f>
        <v>0</v>
      </c>
      <c r="AA109" s="197">
        <f>'IS (Bull-Case)'!AA109-'IS (Base-Case)'!AA109</f>
        <v>0</v>
      </c>
      <c r="AB109" s="168">
        <f>'IS (Bull-Case)'!AB109-'IS (Base-Case)'!AB109</f>
        <v>0</v>
      </c>
      <c r="AC109" s="197">
        <f>'IS (Bull-Case)'!AC109-'IS (Base-Case)'!AC109</f>
        <v>0</v>
      </c>
      <c r="AD109" s="197">
        <f>'IS (Bull-Case)'!AD109-'IS (Base-Case)'!AD109</f>
        <v>0</v>
      </c>
      <c r="AE109" s="197">
        <f>'IS (Bull-Case)'!AE109-'IS (Base-Case)'!AE109</f>
        <v>0</v>
      </c>
      <c r="AF109" s="197">
        <f>'IS (Bull-Case)'!AF109-'IS (Base-Case)'!AF109</f>
        <v>0</v>
      </c>
      <c r="AG109" s="168">
        <f>'IS (Bull-Case)'!AG109-'IS (Base-Case)'!AG109</f>
        <v>0</v>
      </c>
      <c r="AH109" s="197">
        <f>'IS (Bull-Case)'!AH109-'IS (Base-Case)'!AH109</f>
        <v>0</v>
      </c>
      <c r="AI109" s="197">
        <f>'IS (Bull-Case)'!AI109-'IS (Base-Case)'!AI109</f>
        <v>0</v>
      </c>
      <c r="AJ109" s="197">
        <f>'IS (Bull-Case)'!AJ109-'IS (Base-Case)'!AJ109</f>
        <v>0</v>
      </c>
      <c r="AK109" s="197">
        <f>'IS (Bull-Case)'!AK109-'IS (Base-Case)'!AK109</f>
        <v>0</v>
      </c>
      <c r="AL109" s="168">
        <f>'IS (Bull-Case)'!AL109-'IS (Base-Case)'!AL109</f>
        <v>0</v>
      </c>
      <c r="AM109" s="197">
        <f>'IS (Bull-Case)'!AM109-'IS (Base-Case)'!AM109</f>
        <v>0</v>
      </c>
      <c r="AN109" s="197">
        <f>'IS (Bull-Case)'!AN109-'IS (Base-Case)'!AN109</f>
        <v>0</v>
      </c>
      <c r="AO109" s="197">
        <f>'IS (Bull-Case)'!AO109-'IS (Base-Case)'!AO109</f>
        <v>0</v>
      </c>
      <c r="AP109" s="197">
        <f>'IS (Bull-Case)'!AP109-'IS (Base-Case)'!AP109</f>
        <v>0</v>
      </c>
      <c r="AQ109" s="168">
        <f>'IS (Bull-Case)'!AQ109-'IS (Base-Case)'!AQ109</f>
        <v>0</v>
      </c>
      <c r="AR109" s="197">
        <f>'IS (Bull-Case)'!AR109-'IS (Base-Case)'!AR109</f>
        <v>0</v>
      </c>
      <c r="AS109" s="197">
        <f>'IS (Bull-Case)'!AS109-'IS (Base-Case)'!AS109</f>
        <v>0</v>
      </c>
      <c r="AT109" s="197">
        <f>'IS (Bull-Case)'!AT109-'IS (Base-Case)'!AT109</f>
        <v>0</v>
      </c>
      <c r="AU109" s="197">
        <f>'IS (Bull-Case)'!AU109-'IS (Base-Case)'!AU109</f>
        <v>0</v>
      </c>
      <c r="AV109" s="168">
        <f>'IS (Bull-Case)'!AV109-'IS (Base-Case)'!AV109</f>
        <v>0</v>
      </c>
    </row>
    <row r="110" spans="1:48" outlineLevel="1" x14ac:dyDescent="0.3">
      <c r="B110" s="443" t="s">
        <v>100</v>
      </c>
      <c r="C110" s="444"/>
      <c r="D110" s="48">
        <f>'IS (Bull-Case)'!D110-'IS (Base-Case)'!D110</f>
        <v>0</v>
      </c>
      <c r="E110" s="48">
        <f>'IS (Bull-Case)'!E110-'IS (Base-Case)'!E110</f>
        <v>0</v>
      </c>
      <c r="F110" s="48">
        <f>'IS (Bull-Case)'!F110-'IS (Base-Case)'!F110</f>
        <v>0</v>
      </c>
      <c r="G110" s="48">
        <f>'IS (Bull-Case)'!G110-'IS (Base-Case)'!G110</f>
        <v>0</v>
      </c>
      <c r="H110" s="76">
        <f>'IS (Bull-Case)'!H110-'IS (Base-Case)'!H110</f>
        <v>0</v>
      </c>
      <c r="I110" s="48">
        <f>'IS (Bull-Case)'!I110-'IS (Base-Case)'!I110</f>
        <v>0</v>
      </c>
      <c r="J110" s="48">
        <f>'IS (Bull-Case)'!J110-'IS (Base-Case)'!J110</f>
        <v>0</v>
      </c>
      <c r="K110" s="48">
        <f>'IS (Bull-Case)'!K110-'IS (Base-Case)'!K110</f>
        <v>0</v>
      </c>
      <c r="L110" s="48">
        <f>'IS (Bull-Case)'!L110-'IS (Base-Case)'!L110</f>
        <v>0</v>
      </c>
      <c r="M110" s="76">
        <f>'IS (Bull-Case)'!M110-'IS (Base-Case)'!M110</f>
        <v>0</v>
      </c>
      <c r="N110" s="48">
        <f>'IS (Bull-Case)'!N110-'IS (Base-Case)'!N110</f>
        <v>0</v>
      </c>
      <c r="O110" s="48">
        <f>'IS (Bull-Case)'!O110-'IS (Base-Case)'!O110</f>
        <v>0</v>
      </c>
      <c r="P110" s="48">
        <f>'IS (Bull-Case)'!P110-'IS (Base-Case)'!P110</f>
        <v>0</v>
      </c>
      <c r="Q110" s="105">
        <f>'IS (Bull-Case)'!Q110-'IS (Base-Case)'!Q110</f>
        <v>0</v>
      </c>
      <c r="R110" s="76">
        <f>'IS (Bull-Case)'!R110-'IS (Base-Case)'!R110</f>
        <v>0</v>
      </c>
      <c r="S110" s="48">
        <f>'IS (Bull-Case)'!S110-'IS (Base-Case)'!S110</f>
        <v>0</v>
      </c>
      <c r="T110" s="48">
        <f>'IS (Bull-Case)'!T110-'IS (Base-Case)'!T110</f>
        <v>0</v>
      </c>
      <c r="U110" s="48">
        <f>'IS (Bull-Case)'!U110-'IS (Base-Case)'!U110</f>
        <v>0</v>
      </c>
      <c r="V110" s="48">
        <f>'IS (Bull-Case)'!V110-'IS (Base-Case)'!V110</f>
        <v>0</v>
      </c>
      <c r="W110" s="76">
        <f>'IS (Bull-Case)'!W110-'IS (Base-Case)'!W110</f>
        <v>0</v>
      </c>
      <c r="X110" s="48">
        <f>'IS (Bull-Case)'!X110-'IS (Base-Case)'!X110</f>
        <v>0</v>
      </c>
      <c r="Y110" s="48">
        <f>'IS (Bull-Case)'!Y110-'IS (Base-Case)'!Y110</f>
        <v>0</v>
      </c>
      <c r="Z110" s="48">
        <f>'IS (Bull-Case)'!Z110-'IS (Base-Case)'!Z110</f>
        <v>0</v>
      </c>
      <c r="AA110" s="48">
        <f>'IS (Bull-Case)'!AA110-'IS (Base-Case)'!AA110</f>
        <v>0</v>
      </c>
      <c r="AB110" s="76">
        <f>'IS (Bull-Case)'!AB110-'IS (Base-Case)'!AB110</f>
        <v>0</v>
      </c>
      <c r="AC110" s="48">
        <f>'IS (Bull-Case)'!AC110-'IS (Base-Case)'!AC110</f>
        <v>0</v>
      </c>
      <c r="AD110" s="48">
        <f>'IS (Bull-Case)'!AD110-'IS (Base-Case)'!AD110</f>
        <v>0</v>
      </c>
      <c r="AE110" s="48">
        <f>'IS (Bull-Case)'!AE110-'IS (Base-Case)'!AE110</f>
        <v>0</v>
      </c>
      <c r="AF110" s="48">
        <f>'IS (Bull-Case)'!AF110-'IS (Base-Case)'!AF110</f>
        <v>0</v>
      </c>
      <c r="AG110" s="76">
        <f>'IS (Bull-Case)'!AG110-'IS (Base-Case)'!AG110</f>
        <v>0</v>
      </c>
      <c r="AH110" s="48">
        <f>'IS (Bull-Case)'!AH110-'IS (Base-Case)'!AH110</f>
        <v>0</v>
      </c>
      <c r="AI110" s="48">
        <f>'IS (Bull-Case)'!AI110-'IS (Base-Case)'!AI110</f>
        <v>0</v>
      </c>
      <c r="AJ110" s="48">
        <f>'IS (Bull-Case)'!AJ110-'IS (Base-Case)'!AJ110</f>
        <v>0</v>
      </c>
      <c r="AK110" s="48">
        <f>'IS (Bull-Case)'!AK110-'IS (Base-Case)'!AK110</f>
        <v>0</v>
      </c>
      <c r="AL110" s="76">
        <f>'IS (Bull-Case)'!AL110-'IS (Base-Case)'!AL110</f>
        <v>0</v>
      </c>
      <c r="AM110" s="48">
        <f>'IS (Bull-Case)'!AM110-'IS (Base-Case)'!AM110</f>
        <v>0</v>
      </c>
      <c r="AN110" s="48">
        <f>'IS (Bull-Case)'!AN110-'IS (Base-Case)'!AN110</f>
        <v>0</v>
      </c>
      <c r="AO110" s="48">
        <f>'IS (Bull-Case)'!AO110-'IS (Base-Case)'!AO110</f>
        <v>0</v>
      </c>
      <c r="AP110" s="48">
        <f>'IS (Bull-Case)'!AP110-'IS (Base-Case)'!AP110</f>
        <v>0</v>
      </c>
      <c r="AQ110" s="76">
        <f>'IS (Bull-Case)'!AQ110-'IS (Base-Case)'!AQ110</f>
        <v>0</v>
      </c>
      <c r="AR110" s="48">
        <f>'IS (Bull-Case)'!AR110-'IS (Base-Case)'!AR110</f>
        <v>0</v>
      </c>
      <c r="AS110" s="48">
        <f>'IS (Bull-Case)'!AS110-'IS (Base-Case)'!AS110</f>
        <v>0</v>
      </c>
      <c r="AT110" s="48">
        <f>'IS (Bull-Case)'!AT110-'IS (Base-Case)'!AT110</f>
        <v>0</v>
      </c>
      <c r="AU110" s="48">
        <f>'IS (Bull-Case)'!AU110-'IS (Base-Case)'!AU110</f>
        <v>0</v>
      </c>
      <c r="AV110" s="76">
        <f>'IS (Bull-Case)'!AV110-'IS (Base-Case)'!AV110</f>
        <v>0</v>
      </c>
    </row>
    <row r="111" spans="1:48" s="183" customFormat="1" outlineLevel="1" x14ac:dyDescent="0.3">
      <c r="A111" s="238"/>
      <c r="B111" s="181" t="s">
        <v>151</v>
      </c>
      <c r="C111" s="182"/>
      <c r="D111" s="167">
        <f>'IS (Bull-Case)'!D111-'IS (Base-Case)'!D111</f>
        <v>0</v>
      </c>
      <c r="E111" s="167">
        <f>'IS (Bull-Case)'!E111-'IS (Base-Case)'!E111</f>
        <v>0</v>
      </c>
      <c r="F111" s="167">
        <f>'IS (Bull-Case)'!F111-'IS (Base-Case)'!F111</f>
        <v>0</v>
      </c>
      <c r="G111" s="167">
        <f>'IS (Bull-Case)'!G111-'IS (Base-Case)'!G111</f>
        <v>0</v>
      </c>
      <c r="H111" s="188">
        <f>'IS (Bull-Case)'!H111-'IS (Base-Case)'!H111</f>
        <v>0</v>
      </c>
      <c r="I111" s="167">
        <f>'IS (Bull-Case)'!I111-'IS (Base-Case)'!I111</f>
        <v>0</v>
      </c>
      <c r="J111" s="167">
        <f>'IS (Bull-Case)'!J111-'IS (Base-Case)'!J111</f>
        <v>0</v>
      </c>
      <c r="K111" s="167">
        <f>'IS (Bull-Case)'!K111-'IS (Base-Case)'!K111</f>
        <v>0</v>
      </c>
      <c r="L111" s="187">
        <f>'IS (Bull-Case)'!L111-'IS (Base-Case)'!L111</f>
        <v>0</v>
      </c>
      <c r="M111" s="188">
        <f>'IS (Bull-Case)'!M111-'IS (Base-Case)'!M111</f>
        <v>0</v>
      </c>
      <c r="N111" s="187">
        <f>'IS (Bull-Case)'!N111-'IS (Base-Case)'!N111</f>
        <v>0</v>
      </c>
      <c r="O111" s="167">
        <f>'IS (Bull-Case)'!O111-'IS (Base-Case)'!O111</f>
        <v>0</v>
      </c>
      <c r="P111" s="167">
        <f>'IS (Bull-Case)'!P111-'IS (Base-Case)'!P111</f>
        <v>0</v>
      </c>
      <c r="Q111" s="167">
        <f>'IS (Bull-Case)'!Q111-'IS (Base-Case)'!Q111</f>
        <v>0</v>
      </c>
      <c r="R111" s="188">
        <f>'IS (Bull-Case)'!R111-'IS (Base-Case)'!R111</f>
        <v>0</v>
      </c>
      <c r="S111" s="187">
        <f>'IS (Bull-Case)'!S111-'IS (Base-Case)'!S111</f>
        <v>0</v>
      </c>
      <c r="T111" s="167">
        <f>'IS (Bull-Case)'!T111-'IS (Base-Case)'!T111</f>
        <v>0</v>
      </c>
      <c r="U111" s="167">
        <f>'IS (Bull-Case)'!U111-'IS (Base-Case)'!U111</f>
        <v>0</v>
      </c>
      <c r="V111" s="189">
        <f>'IS (Bull-Case)'!V111-'IS (Base-Case)'!V111</f>
        <v>0</v>
      </c>
      <c r="W111" s="188">
        <f>'IS (Bull-Case)'!W111-'IS (Base-Case)'!W111</f>
        <v>0</v>
      </c>
      <c r="X111" s="189">
        <f>'IS (Bull-Case)'!X111-'IS (Base-Case)'!X111</f>
        <v>0</v>
      </c>
      <c r="Y111" s="189">
        <f>'IS (Bull-Case)'!Y111-'IS (Base-Case)'!Y111</f>
        <v>0</v>
      </c>
      <c r="Z111" s="189">
        <f>'IS (Bull-Case)'!Z111-'IS (Base-Case)'!Z111</f>
        <v>0</v>
      </c>
      <c r="AA111" s="189">
        <f>'IS (Bull-Case)'!AA111-'IS (Base-Case)'!AA111</f>
        <v>0</v>
      </c>
      <c r="AB111" s="188">
        <f>'IS (Bull-Case)'!AB111-'IS (Base-Case)'!AB111</f>
        <v>0</v>
      </c>
      <c r="AC111" s="189">
        <f>'IS (Bull-Case)'!AC111-'IS (Base-Case)'!AC111</f>
        <v>0</v>
      </c>
      <c r="AD111" s="189">
        <f>'IS (Bull-Case)'!AD111-'IS (Base-Case)'!AD111</f>
        <v>0</v>
      </c>
      <c r="AE111" s="189">
        <f>'IS (Bull-Case)'!AE111-'IS (Base-Case)'!AE111</f>
        <v>0</v>
      </c>
      <c r="AF111" s="189">
        <f>'IS (Bull-Case)'!AF111-'IS (Base-Case)'!AF111</f>
        <v>0</v>
      </c>
      <c r="AG111" s="188">
        <f>'IS (Bull-Case)'!AG111-'IS (Base-Case)'!AG111</f>
        <v>0</v>
      </c>
      <c r="AH111" s="189">
        <f>'IS (Bull-Case)'!AH111-'IS (Base-Case)'!AH111</f>
        <v>0</v>
      </c>
      <c r="AI111" s="189">
        <f>'IS (Bull-Case)'!AI111-'IS (Base-Case)'!AI111</f>
        <v>0</v>
      </c>
      <c r="AJ111" s="189">
        <f>'IS (Bull-Case)'!AJ111-'IS (Base-Case)'!AJ111</f>
        <v>0</v>
      </c>
      <c r="AK111" s="189">
        <f>'IS (Bull-Case)'!AK111-'IS (Base-Case)'!AK111</f>
        <v>0</v>
      </c>
      <c r="AL111" s="188">
        <f>'IS (Bull-Case)'!AL111-'IS (Base-Case)'!AL111</f>
        <v>0</v>
      </c>
      <c r="AM111" s="189">
        <f>'IS (Bull-Case)'!AM111-'IS (Base-Case)'!AM111</f>
        <v>0</v>
      </c>
      <c r="AN111" s="189">
        <f>'IS (Bull-Case)'!AN111-'IS (Base-Case)'!AN111</f>
        <v>0</v>
      </c>
      <c r="AO111" s="189">
        <f>'IS (Bull-Case)'!AO111-'IS (Base-Case)'!AO111</f>
        <v>0</v>
      </c>
      <c r="AP111" s="189">
        <f>'IS (Bull-Case)'!AP111-'IS (Base-Case)'!AP111</f>
        <v>0</v>
      </c>
      <c r="AQ111" s="188">
        <f>'IS (Bull-Case)'!AQ111-'IS (Base-Case)'!AQ111</f>
        <v>0</v>
      </c>
      <c r="AR111" s="189">
        <f>'IS (Bull-Case)'!AR111-'IS (Base-Case)'!AR111</f>
        <v>0</v>
      </c>
      <c r="AS111" s="189">
        <f>'IS (Bull-Case)'!AS111-'IS (Base-Case)'!AS111</f>
        <v>0</v>
      </c>
      <c r="AT111" s="189">
        <f>'IS (Bull-Case)'!AT111-'IS (Base-Case)'!AT111</f>
        <v>0</v>
      </c>
      <c r="AU111" s="189">
        <f>'IS (Bull-Case)'!AU111-'IS (Base-Case)'!AU111</f>
        <v>0</v>
      </c>
      <c r="AV111" s="188">
        <f>'IS (Bull-Case)'!AV111-'IS (Base-Case)'!AV111</f>
        <v>0</v>
      </c>
    </row>
    <row r="112" spans="1:48" outlineLevel="1" x14ac:dyDescent="0.3">
      <c r="B112" s="180" t="s">
        <v>33</v>
      </c>
      <c r="C112" s="18"/>
      <c r="D112" s="48">
        <f>'IS (Bull-Case)'!D112-'IS (Base-Case)'!D112</f>
        <v>0</v>
      </c>
      <c r="E112" s="48">
        <f>'IS (Bull-Case)'!E112-'IS (Base-Case)'!E112</f>
        <v>0</v>
      </c>
      <c r="F112" s="48">
        <f>'IS (Bull-Case)'!F112-'IS (Base-Case)'!F112</f>
        <v>0</v>
      </c>
      <c r="G112" s="48">
        <f>'IS (Bull-Case)'!G112-'IS (Base-Case)'!G112</f>
        <v>0</v>
      </c>
      <c r="H112" s="49">
        <f>'IS (Bull-Case)'!H112-'IS (Base-Case)'!H112</f>
        <v>0</v>
      </c>
      <c r="I112" s="48">
        <f>'IS (Bull-Case)'!I112-'IS (Base-Case)'!I112</f>
        <v>0</v>
      </c>
      <c r="J112" s="48">
        <f>'IS (Bull-Case)'!J112-'IS (Base-Case)'!J112</f>
        <v>0</v>
      </c>
      <c r="K112" s="48">
        <f>'IS (Bull-Case)'!K112-'IS (Base-Case)'!K112</f>
        <v>0</v>
      </c>
      <c r="L112" s="48">
        <f>'IS (Bull-Case)'!L112-'IS (Base-Case)'!L112</f>
        <v>0</v>
      </c>
      <c r="M112" s="49">
        <f>'IS (Bull-Case)'!M112-'IS (Base-Case)'!M112</f>
        <v>0</v>
      </c>
      <c r="N112" s="48">
        <f>'IS (Bull-Case)'!N112-'IS (Base-Case)'!N112</f>
        <v>0</v>
      </c>
      <c r="O112" s="48">
        <f>'IS (Bull-Case)'!O112-'IS (Base-Case)'!O112</f>
        <v>0</v>
      </c>
      <c r="P112" s="48">
        <f>'IS (Bull-Case)'!P112-'IS (Base-Case)'!P112</f>
        <v>0</v>
      </c>
      <c r="Q112" s="105">
        <f>'IS (Bull-Case)'!Q112-'IS (Base-Case)'!Q112</f>
        <v>0</v>
      </c>
      <c r="R112" s="49">
        <f>'IS (Bull-Case)'!R112-'IS (Base-Case)'!R112</f>
        <v>0</v>
      </c>
      <c r="S112" s="48">
        <f>'IS (Bull-Case)'!S112-'IS (Base-Case)'!S112</f>
        <v>0</v>
      </c>
      <c r="T112" s="48">
        <f>'IS (Bull-Case)'!T112-'IS (Base-Case)'!T112</f>
        <v>0</v>
      </c>
      <c r="U112" s="48">
        <f>'IS (Bull-Case)'!U112-'IS (Base-Case)'!U112</f>
        <v>0</v>
      </c>
      <c r="V112" s="48">
        <f>'IS (Bull-Case)'!V112-'IS (Base-Case)'!V112</f>
        <v>0</v>
      </c>
      <c r="W112" s="49">
        <f>'IS (Bull-Case)'!W112-'IS (Base-Case)'!W112</f>
        <v>0</v>
      </c>
      <c r="X112" s="48">
        <f>'IS (Bull-Case)'!X112-'IS (Base-Case)'!X112</f>
        <v>0</v>
      </c>
      <c r="Y112" s="48">
        <f>'IS (Bull-Case)'!Y112-'IS (Base-Case)'!Y112</f>
        <v>0</v>
      </c>
      <c r="Z112" s="48">
        <f>'IS (Bull-Case)'!Z112-'IS (Base-Case)'!Z112</f>
        <v>0</v>
      </c>
      <c r="AA112" s="48">
        <f>'IS (Bull-Case)'!AA112-'IS (Base-Case)'!AA112</f>
        <v>0</v>
      </c>
      <c r="AB112" s="49">
        <f>'IS (Bull-Case)'!AB112-'IS (Base-Case)'!AB112</f>
        <v>0</v>
      </c>
      <c r="AC112" s="48">
        <f>'IS (Bull-Case)'!AC112-'IS (Base-Case)'!AC112</f>
        <v>0</v>
      </c>
      <c r="AD112" s="48">
        <f>'IS (Bull-Case)'!AD112-'IS (Base-Case)'!AD112</f>
        <v>0</v>
      </c>
      <c r="AE112" s="48">
        <f>'IS (Bull-Case)'!AE112-'IS (Base-Case)'!AE112</f>
        <v>0</v>
      </c>
      <c r="AF112" s="48">
        <f>'IS (Bull-Case)'!AF112-'IS (Base-Case)'!AF112</f>
        <v>0</v>
      </c>
      <c r="AG112" s="49">
        <f>'IS (Bull-Case)'!AG112-'IS (Base-Case)'!AG112</f>
        <v>0</v>
      </c>
      <c r="AH112" s="48">
        <f>'IS (Bull-Case)'!AH112-'IS (Base-Case)'!AH112</f>
        <v>0</v>
      </c>
      <c r="AI112" s="48">
        <f>'IS (Bull-Case)'!AI112-'IS (Base-Case)'!AI112</f>
        <v>0</v>
      </c>
      <c r="AJ112" s="48">
        <f>'IS (Bull-Case)'!AJ112-'IS (Base-Case)'!AJ112</f>
        <v>0</v>
      </c>
      <c r="AK112" s="48">
        <f>'IS (Bull-Case)'!AK112-'IS (Base-Case)'!AK112</f>
        <v>0</v>
      </c>
      <c r="AL112" s="49">
        <f>'IS (Bull-Case)'!AL112-'IS (Base-Case)'!AL112</f>
        <v>0</v>
      </c>
      <c r="AM112" s="48">
        <f>'IS (Bull-Case)'!AM112-'IS (Base-Case)'!AM112</f>
        <v>0</v>
      </c>
      <c r="AN112" s="48">
        <f>'IS (Bull-Case)'!AN112-'IS (Base-Case)'!AN112</f>
        <v>0</v>
      </c>
      <c r="AO112" s="48">
        <f>'IS (Bull-Case)'!AO112-'IS (Base-Case)'!AO112</f>
        <v>0</v>
      </c>
      <c r="AP112" s="48">
        <f>'IS (Bull-Case)'!AP112-'IS (Base-Case)'!AP112</f>
        <v>0</v>
      </c>
      <c r="AQ112" s="49">
        <f>'IS (Bull-Case)'!AQ112-'IS (Base-Case)'!AQ112</f>
        <v>0</v>
      </c>
      <c r="AR112" s="48">
        <f>'IS (Bull-Case)'!AR112-'IS (Base-Case)'!AR112</f>
        <v>0</v>
      </c>
      <c r="AS112" s="48">
        <f>'IS (Bull-Case)'!AS112-'IS (Base-Case)'!AS112</f>
        <v>0</v>
      </c>
      <c r="AT112" s="48">
        <f>'IS (Bull-Case)'!AT112-'IS (Base-Case)'!AT112</f>
        <v>0</v>
      </c>
      <c r="AU112" s="48">
        <f>'IS (Bull-Case)'!AU112-'IS (Base-Case)'!AU112</f>
        <v>0</v>
      </c>
      <c r="AV112" s="49">
        <f>'IS (Bull-Case)'!AV112-'IS (Base-Case)'!AV112</f>
        <v>0</v>
      </c>
    </row>
    <row r="113" spans="2:48" s="184" customFormat="1" outlineLevel="1" x14ac:dyDescent="0.3">
      <c r="B113" s="181" t="s">
        <v>154</v>
      </c>
      <c r="C113" s="190"/>
      <c r="D113" s="187">
        <f>'IS (Bull-Case)'!D113-'IS (Base-Case)'!D113</f>
        <v>0</v>
      </c>
      <c r="E113" s="187">
        <f>'IS (Bull-Case)'!E113-'IS (Base-Case)'!E113</f>
        <v>0</v>
      </c>
      <c r="F113" s="187">
        <f>'IS (Bull-Case)'!F113-'IS (Base-Case)'!F113</f>
        <v>0</v>
      </c>
      <c r="G113" s="187">
        <f>'IS (Bull-Case)'!G113-'IS (Base-Case)'!G113</f>
        <v>0</v>
      </c>
      <c r="H113" s="188">
        <f>'IS (Bull-Case)'!H113-'IS (Base-Case)'!H113</f>
        <v>0</v>
      </c>
      <c r="I113" s="187">
        <f>'IS (Bull-Case)'!I113-'IS (Base-Case)'!I113</f>
        <v>0</v>
      </c>
      <c r="J113" s="187">
        <f>'IS (Bull-Case)'!J113-'IS (Base-Case)'!J113</f>
        <v>0</v>
      </c>
      <c r="K113" s="187">
        <f>'IS (Bull-Case)'!K113-'IS (Base-Case)'!K113</f>
        <v>0</v>
      </c>
      <c r="L113" s="187">
        <f>'IS (Bull-Case)'!L113-'IS (Base-Case)'!L113</f>
        <v>0</v>
      </c>
      <c r="M113" s="188">
        <f>'IS (Bull-Case)'!M113-'IS (Base-Case)'!M113</f>
        <v>0</v>
      </c>
      <c r="N113" s="187">
        <f>'IS (Bull-Case)'!N113-'IS (Base-Case)'!N113</f>
        <v>0</v>
      </c>
      <c r="O113" s="187">
        <f>'IS (Bull-Case)'!O113-'IS (Base-Case)'!O113</f>
        <v>0</v>
      </c>
      <c r="P113" s="187">
        <f>'IS (Bull-Case)'!P113-'IS (Base-Case)'!P113</f>
        <v>0</v>
      </c>
      <c r="Q113" s="167">
        <f>'IS (Bull-Case)'!Q113-'IS (Base-Case)'!Q113</f>
        <v>0</v>
      </c>
      <c r="R113" s="188">
        <f>'IS (Bull-Case)'!R113-'IS (Base-Case)'!R113</f>
        <v>0</v>
      </c>
      <c r="S113" s="187">
        <f>'IS (Bull-Case)'!S113-'IS (Base-Case)'!S113</f>
        <v>0</v>
      </c>
      <c r="T113" s="187">
        <f>'IS (Bull-Case)'!T113-'IS (Base-Case)'!T113</f>
        <v>0</v>
      </c>
      <c r="U113" s="187">
        <f>'IS (Bull-Case)'!U113-'IS (Base-Case)'!U113</f>
        <v>0</v>
      </c>
      <c r="V113" s="189">
        <f>'IS (Bull-Case)'!V113-'IS (Base-Case)'!V113</f>
        <v>0</v>
      </c>
      <c r="W113" s="188">
        <f>'IS (Bull-Case)'!W113-'IS (Base-Case)'!W113</f>
        <v>0</v>
      </c>
      <c r="X113" s="189">
        <f>'IS (Bull-Case)'!X113-'IS (Base-Case)'!X113</f>
        <v>0</v>
      </c>
      <c r="Y113" s="189">
        <f>'IS (Bull-Case)'!Y113-'IS (Base-Case)'!Y113</f>
        <v>0</v>
      </c>
      <c r="Z113" s="189">
        <f>'IS (Bull-Case)'!Z113-'IS (Base-Case)'!Z113</f>
        <v>0</v>
      </c>
      <c r="AA113" s="189">
        <f>'IS (Bull-Case)'!AA113-'IS (Base-Case)'!AA113</f>
        <v>0</v>
      </c>
      <c r="AB113" s="188">
        <f>'IS (Bull-Case)'!AB113-'IS (Base-Case)'!AB113</f>
        <v>0</v>
      </c>
      <c r="AC113" s="189">
        <f>'IS (Bull-Case)'!AC113-'IS (Base-Case)'!AC113</f>
        <v>0</v>
      </c>
      <c r="AD113" s="189">
        <f>'IS (Bull-Case)'!AD113-'IS (Base-Case)'!AD113</f>
        <v>0</v>
      </c>
      <c r="AE113" s="189">
        <f>'IS (Bull-Case)'!AE113-'IS (Base-Case)'!AE113</f>
        <v>0</v>
      </c>
      <c r="AF113" s="189">
        <f>'IS (Bull-Case)'!AF113-'IS (Base-Case)'!AF113</f>
        <v>0</v>
      </c>
      <c r="AG113" s="188">
        <f>'IS (Bull-Case)'!AG113-'IS (Base-Case)'!AG113</f>
        <v>0</v>
      </c>
      <c r="AH113" s="189">
        <f>'IS (Bull-Case)'!AH113-'IS (Base-Case)'!AH113</f>
        <v>0</v>
      </c>
      <c r="AI113" s="189">
        <f>'IS (Bull-Case)'!AI113-'IS (Base-Case)'!AI113</f>
        <v>0</v>
      </c>
      <c r="AJ113" s="189">
        <f>'IS (Bull-Case)'!AJ113-'IS (Base-Case)'!AJ113</f>
        <v>0</v>
      </c>
      <c r="AK113" s="189">
        <f>'IS (Bull-Case)'!AK113-'IS (Base-Case)'!AK113</f>
        <v>0</v>
      </c>
      <c r="AL113" s="188">
        <f>'IS (Bull-Case)'!AL113-'IS (Base-Case)'!AL113</f>
        <v>0</v>
      </c>
      <c r="AM113" s="189">
        <f>'IS (Bull-Case)'!AM113-'IS (Base-Case)'!AM113</f>
        <v>0</v>
      </c>
      <c r="AN113" s="189">
        <f>'IS (Bull-Case)'!AN113-'IS (Base-Case)'!AN113</f>
        <v>0</v>
      </c>
      <c r="AO113" s="189">
        <f>'IS (Bull-Case)'!AO113-'IS (Base-Case)'!AO113</f>
        <v>0</v>
      </c>
      <c r="AP113" s="189">
        <f>'IS (Bull-Case)'!AP113-'IS (Base-Case)'!AP113</f>
        <v>0</v>
      </c>
      <c r="AQ113" s="188">
        <f>'IS (Bull-Case)'!AQ113-'IS (Base-Case)'!AQ113</f>
        <v>0</v>
      </c>
      <c r="AR113" s="189">
        <f>'IS (Bull-Case)'!AR113-'IS (Base-Case)'!AR113</f>
        <v>0</v>
      </c>
      <c r="AS113" s="189">
        <f>'IS (Bull-Case)'!AS113-'IS (Base-Case)'!AS113</f>
        <v>0</v>
      </c>
      <c r="AT113" s="189">
        <f>'IS (Bull-Case)'!AT113-'IS (Base-Case)'!AT113</f>
        <v>0</v>
      </c>
      <c r="AU113" s="189">
        <f>'IS (Bull-Case)'!AU113-'IS (Base-Case)'!AU113</f>
        <v>0</v>
      </c>
      <c r="AV113" s="188">
        <f>'IS (Bull-Case)'!AV113-'IS (Base-Case)'!AV113</f>
        <v>0</v>
      </c>
    </row>
    <row r="114" spans="2:48" outlineLevel="1" x14ac:dyDescent="0.3">
      <c r="B114" s="180" t="s">
        <v>34</v>
      </c>
      <c r="C114" s="18"/>
      <c r="D114" s="358">
        <f>'IS (Bull-Case)'!D114-'IS (Base-Case)'!D114</f>
        <v>0</v>
      </c>
      <c r="E114" s="358">
        <f>'IS (Bull-Case)'!E114-'IS (Base-Case)'!E114</f>
        <v>0</v>
      </c>
      <c r="F114" s="358">
        <f>'IS (Bull-Case)'!F114-'IS (Base-Case)'!F114</f>
        <v>0</v>
      </c>
      <c r="G114" s="358">
        <f>'IS (Bull-Case)'!G114-'IS (Base-Case)'!G114</f>
        <v>0</v>
      </c>
      <c r="H114" s="126">
        <f>'IS (Bull-Case)'!H114-'IS (Base-Case)'!H114</f>
        <v>0</v>
      </c>
      <c r="I114" s="358">
        <f>'IS (Bull-Case)'!I114-'IS (Base-Case)'!I114</f>
        <v>0</v>
      </c>
      <c r="J114" s="358">
        <f>'IS (Bull-Case)'!J114-'IS (Base-Case)'!J114</f>
        <v>0</v>
      </c>
      <c r="K114" s="358">
        <f>'IS (Bull-Case)'!K114-'IS (Base-Case)'!K114</f>
        <v>0</v>
      </c>
      <c r="L114" s="358">
        <f>'IS (Bull-Case)'!L114-'IS (Base-Case)'!L114</f>
        <v>0</v>
      </c>
      <c r="M114" s="126">
        <f>'IS (Bull-Case)'!M114-'IS (Base-Case)'!M114</f>
        <v>0</v>
      </c>
      <c r="N114" s="358">
        <f>'IS (Bull-Case)'!N114-'IS (Base-Case)'!N114</f>
        <v>0</v>
      </c>
      <c r="O114" s="358">
        <f>'IS (Bull-Case)'!O114-'IS (Base-Case)'!O114</f>
        <v>0</v>
      </c>
      <c r="P114" s="358">
        <f>'IS (Bull-Case)'!P114-'IS (Base-Case)'!P114</f>
        <v>0</v>
      </c>
      <c r="Q114" s="358">
        <f>'IS (Bull-Case)'!Q114-'IS (Base-Case)'!Q114</f>
        <v>0</v>
      </c>
      <c r="R114" s="126">
        <f>'IS (Bull-Case)'!R114-'IS (Base-Case)'!R114</f>
        <v>0</v>
      </c>
      <c r="S114" s="358">
        <f>'IS (Bull-Case)'!S114-'IS (Base-Case)'!S114</f>
        <v>0</v>
      </c>
      <c r="T114" s="358">
        <f>'IS (Bull-Case)'!T114-'IS (Base-Case)'!T114</f>
        <v>0</v>
      </c>
      <c r="U114" s="358">
        <f>'IS (Bull-Case)'!U114-'IS (Base-Case)'!U114</f>
        <v>0</v>
      </c>
      <c r="V114" s="360">
        <f>'IS (Bull-Case)'!V114-'IS (Base-Case)'!V114</f>
        <v>0</v>
      </c>
      <c r="W114" s="126">
        <f>'IS (Bull-Case)'!W114-'IS (Base-Case)'!W114</f>
        <v>0</v>
      </c>
      <c r="X114" s="360">
        <f>'IS (Bull-Case)'!X114-'IS (Base-Case)'!X114</f>
        <v>0</v>
      </c>
      <c r="Y114" s="360">
        <f>'IS (Bull-Case)'!Y114-'IS (Base-Case)'!Y114</f>
        <v>0</v>
      </c>
      <c r="Z114" s="360">
        <f>'IS (Bull-Case)'!Z114-'IS (Base-Case)'!Z114</f>
        <v>0</v>
      </c>
      <c r="AA114" s="360">
        <f>'IS (Bull-Case)'!AA114-'IS (Base-Case)'!AA114</f>
        <v>0</v>
      </c>
      <c r="AB114" s="126">
        <f>'IS (Bull-Case)'!AB114-'IS (Base-Case)'!AB114</f>
        <v>0</v>
      </c>
      <c r="AC114" s="360">
        <f>'IS (Bull-Case)'!AC114-'IS (Base-Case)'!AC114</f>
        <v>0</v>
      </c>
      <c r="AD114" s="360">
        <f>'IS (Bull-Case)'!AD114-'IS (Base-Case)'!AD114</f>
        <v>0</v>
      </c>
      <c r="AE114" s="360">
        <f>'IS (Bull-Case)'!AE114-'IS (Base-Case)'!AE114</f>
        <v>0</v>
      </c>
      <c r="AF114" s="360">
        <f>'IS (Bull-Case)'!AF114-'IS (Base-Case)'!AF114</f>
        <v>0</v>
      </c>
      <c r="AG114" s="126">
        <f>'IS (Bull-Case)'!AG114-'IS (Base-Case)'!AG114</f>
        <v>0</v>
      </c>
      <c r="AH114" s="360">
        <f>'IS (Bull-Case)'!AH114-'IS (Base-Case)'!AH114</f>
        <v>0</v>
      </c>
      <c r="AI114" s="360">
        <f>'IS (Bull-Case)'!AI114-'IS (Base-Case)'!AI114</f>
        <v>0</v>
      </c>
      <c r="AJ114" s="360">
        <f>'IS (Bull-Case)'!AJ114-'IS (Base-Case)'!AJ114</f>
        <v>0</v>
      </c>
      <c r="AK114" s="360">
        <f>'IS (Bull-Case)'!AK114-'IS (Base-Case)'!AK114</f>
        <v>0</v>
      </c>
      <c r="AL114" s="126">
        <f>'IS (Bull-Case)'!AL114-'IS (Base-Case)'!AL114</f>
        <v>0</v>
      </c>
      <c r="AM114" s="360">
        <f>'IS (Bull-Case)'!AM114-'IS (Base-Case)'!AM114</f>
        <v>0</v>
      </c>
      <c r="AN114" s="360">
        <f>'IS (Bull-Case)'!AN114-'IS (Base-Case)'!AN114</f>
        <v>0</v>
      </c>
      <c r="AO114" s="360">
        <f>'IS (Bull-Case)'!AO114-'IS (Base-Case)'!AO114</f>
        <v>0</v>
      </c>
      <c r="AP114" s="360">
        <f>'IS (Bull-Case)'!AP114-'IS (Base-Case)'!AP114</f>
        <v>0</v>
      </c>
      <c r="AQ114" s="126">
        <f>'IS (Bull-Case)'!AQ114-'IS (Base-Case)'!AQ114</f>
        <v>0</v>
      </c>
      <c r="AR114" s="360">
        <f>'IS (Bull-Case)'!AR114-'IS (Base-Case)'!AR114</f>
        <v>0</v>
      </c>
      <c r="AS114" s="360">
        <f>'IS (Bull-Case)'!AS114-'IS (Base-Case)'!AS114</f>
        <v>0</v>
      </c>
      <c r="AT114" s="360">
        <f>'IS (Bull-Case)'!AT114-'IS (Base-Case)'!AT114</f>
        <v>0</v>
      </c>
      <c r="AU114" s="360">
        <f>'IS (Bull-Case)'!AU114-'IS (Base-Case)'!AU114</f>
        <v>0</v>
      </c>
      <c r="AV114" s="126">
        <f>'IS (Bull-Case)'!AV114-'IS (Base-Case)'!AV114</f>
        <v>0</v>
      </c>
    </row>
    <row r="115" spans="2:48" outlineLevel="1" x14ac:dyDescent="0.3">
      <c r="B115" s="180" t="s">
        <v>35</v>
      </c>
      <c r="C115" s="18"/>
      <c r="D115" s="48">
        <f>'IS (Bull-Case)'!D115-'IS (Base-Case)'!D115</f>
        <v>0</v>
      </c>
      <c r="E115" s="48">
        <f>'IS (Bull-Case)'!E115-'IS (Base-Case)'!E115</f>
        <v>0</v>
      </c>
      <c r="F115" s="48">
        <f>'IS (Bull-Case)'!F115-'IS (Base-Case)'!F115</f>
        <v>0</v>
      </c>
      <c r="G115" s="48">
        <f>'IS (Bull-Case)'!G115-'IS (Base-Case)'!G115</f>
        <v>0</v>
      </c>
      <c r="H115" s="49">
        <f>'IS (Bull-Case)'!H115-'IS (Base-Case)'!H115</f>
        <v>0</v>
      </c>
      <c r="I115" s="48">
        <f>'IS (Bull-Case)'!I115-'IS (Base-Case)'!I115</f>
        <v>0</v>
      </c>
      <c r="J115" s="48">
        <f>'IS (Bull-Case)'!J115-'IS (Base-Case)'!J115</f>
        <v>0</v>
      </c>
      <c r="K115" s="48">
        <f>'IS (Bull-Case)'!K115-'IS (Base-Case)'!K115</f>
        <v>0</v>
      </c>
      <c r="L115" s="48">
        <f>'IS (Bull-Case)'!L115-'IS (Base-Case)'!L115</f>
        <v>0</v>
      </c>
      <c r="M115" s="49">
        <f>'IS (Bull-Case)'!M115-'IS (Base-Case)'!M115</f>
        <v>0</v>
      </c>
      <c r="N115" s="48">
        <f>'IS (Bull-Case)'!N115-'IS (Base-Case)'!N115</f>
        <v>0</v>
      </c>
      <c r="O115" s="48">
        <f>'IS (Bull-Case)'!O115-'IS (Base-Case)'!O115</f>
        <v>0</v>
      </c>
      <c r="P115" s="48">
        <f>'IS (Bull-Case)'!P115-'IS (Base-Case)'!P115</f>
        <v>0</v>
      </c>
      <c r="Q115" s="105">
        <f>'IS (Bull-Case)'!Q115-'IS (Base-Case)'!Q115</f>
        <v>0</v>
      </c>
      <c r="R115" s="49">
        <f>'IS (Bull-Case)'!R115-'IS (Base-Case)'!R115</f>
        <v>0</v>
      </c>
      <c r="S115" s="48">
        <f>'IS (Bull-Case)'!S115-'IS (Base-Case)'!S115</f>
        <v>0</v>
      </c>
      <c r="T115" s="48">
        <f>'IS (Bull-Case)'!T115-'IS (Base-Case)'!T115</f>
        <v>0</v>
      </c>
      <c r="U115" s="48">
        <f>'IS (Bull-Case)'!U115-'IS (Base-Case)'!U115</f>
        <v>0</v>
      </c>
      <c r="V115" s="48">
        <f>'IS (Bull-Case)'!V115-'IS (Base-Case)'!V115</f>
        <v>0</v>
      </c>
      <c r="W115" s="49">
        <f>'IS (Bull-Case)'!W115-'IS (Base-Case)'!W115</f>
        <v>0</v>
      </c>
      <c r="X115" s="48">
        <f>'IS (Bull-Case)'!X115-'IS (Base-Case)'!X115</f>
        <v>0</v>
      </c>
      <c r="Y115" s="48">
        <f>'IS (Bull-Case)'!Y115-'IS (Base-Case)'!Y115</f>
        <v>0</v>
      </c>
      <c r="Z115" s="48">
        <f>'IS (Bull-Case)'!Z115-'IS (Base-Case)'!Z115</f>
        <v>0</v>
      </c>
      <c r="AA115" s="48">
        <f>'IS (Bull-Case)'!AA115-'IS (Base-Case)'!AA115</f>
        <v>0</v>
      </c>
      <c r="AB115" s="49">
        <f>'IS (Bull-Case)'!AB115-'IS (Base-Case)'!AB115</f>
        <v>0</v>
      </c>
      <c r="AC115" s="48">
        <f>'IS (Bull-Case)'!AC115-'IS (Base-Case)'!AC115</f>
        <v>0</v>
      </c>
      <c r="AD115" s="48">
        <f>'IS (Bull-Case)'!AD115-'IS (Base-Case)'!AD115</f>
        <v>0</v>
      </c>
      <c r="AE115" s="48">
        <f>'IS (Bull-Case)'!AE115-'IS (Base-Case)'!AE115</f>
        <v>0</v>
      </c>
      <c r="AF115" s="48">
        <f>'IS (Bull-Case)'!AF115-'IS (Base-Case)'!AF115</f>
        <v>0</v>
      </c>
      <c r="AG115" s="49">
        <f>'IS (Bull-Case)'!AG115-'IS (Base-Case)'!AG115</f>
        <v>0</v>
      </c>
      <c r="AH115" s="48">
        <f>'IS (Bull-Case)'!AH115-'IS (Base-Case)'!AH115</f>
        <v>0</v>
      </c>
      <c r="AI115" s="48">
        <f>'IS (Bull-Case)'!AI115-'IS (Base-Case)'!AI115</f>
        <v>0</v>
      </c>
      <c r="AJ115" s="48">
        <f>'IS (Bull-Case)'!AJ115-'IS (Base-Case)'!AJ115</f>
        <v>0</v>
      </c>
      <c r="AK115" s="48">
        <f>'IS (Bull-Case)'!AK115-'IS (Base-Case)'!AK115</f>
        <v>0</v>
      </c>
      <c r="AL115" s="49">
        <f>'IS (Bull-Case)'!AL115-'IS (Base-Case)'!AL115</f>
        <v>0</v>
      </c>
      <c r="AM115" s="48">
        <f>'IS (Bull-Case)'!AM115-'IS (Base-Case)'!AM115</f>
        <v>0</v>
      </c>
      <c r="AN115" s="48">
        <f>'IS (Bull-Case)'!AN115-'IS (Base-Case)'!AN115</f>
        <v>0</v>
      </c>
      <c r="AO115" s="48">
        <f>'IS (Bull-Case)'!AO115-'IS (Base-Case)'!AO115</f>
        <v>0</v>
      </c>
      <c r="AP115" s="48">
        <f>'IS (Bull-Case)'!AP115-'IS (Base-Case)'!AP115</f>
        <v>0</v>
      </c>
      <c r="AQ115" s="49">
        <f>'IS (Bull-Case)'!AQ115-'IS (Base-Case)'!AQ115</f>
        <v>0</v>
      </c>
      <c r="AR115" s="48">
        <f>'IS (Bull-Case)'!AR115-'IS (Base-Case)'!AR115</f>
        <v>0</v>
      </c>
      <c r="AS115" s="48">
        <f>'IS (Bull-Case)'!AS115-'IS (Base-Case)'!AS115</f>
        <v>0</v>
      </c>
      <c r="AT115" s="48">
        <f>'IS (Bull-Case)'!AT115-'IS (Base-Case)'!AT115</f>
        <v>0</v>
      </c>
      <c r="AU115" s="48">
        <f>'IS (Bull-Case)'!AU115-'IS (Base-Case)'!AU115</f>
        <v>0</v>
      </c>
      <c r="AV115" s="49">
        <f>'IS (Bull-Case)'!AV115-'IS (Base-Case)'!AV115</f>
        <v>0</v>
      </c>
    </row>
    <row r="116" spans="2:48" s="184" customFormat="1" outlineLevel="1" x14ac:dyDescent="0.3">
      <c r="B116" s="181" t="s">
        <v>153</v>
      </c>
      <c r="C116" s="190"/>
      <c r="D116" s="187">
        <f>'IS (Bull-Case)'!D116-'IS (Base-Case)'!D116</f>
        <v>0</v>
      </c>
      <c r="E116" s="187">
        <f>'IS (Bull-Case)'!E116-'IS (Base-Case)'!E116</f>
        <v>0</v>
      </c>
      <c r="F116" s="187">
        <f>'IS (Bull-Case)'!F116-'IS (Base-Case)'!F116</f>
        <v>0</v>
      </c>
      <c r="G116" s="187">
        <f>'IS (Bull-Case)'!G116-'IS (Base-Case)'!G116</f>
        <v>0</v>
      </c>
      <c r="H116" s="188">
        <f>'IS (Bull-Case)'!H116-'IS (Base-Case)'!H116</f>
        <v>0</v>
      </c>
      <c r="I116" s="187">
        <f>'IS (Bull-Case)'!I116-'IS (Base-Case)'!I116</f>
        <v>0</v>
      </c>
      <c r="J116" s="187">
        <f>'IS (Bull-Case)'!J116-'IS (Base-Case)'!J116</f>
        <v>0</v>
      </c>
      <c r="K116" s="187">
        <f>'IS (Bull-Case)'!K116-'IS (Base-Case)'!K116</f>
        <v>0</v>
      </c>
      <c r="L116" s="187">
        <f>'IS (Bull-Case)'!L116-'IS (Base-Case)'!L116</f>
        <v>0</v>
      </c>
      <c r="M116" s="188">
        <f>'IS (Bull-Case)'!M116-'IS (Base-Case)'!M116</f>
        <v>0</v>
      </c>
      <c r="N116" s="187">
        <f>'IS (Bull-Case)'!N116-'IS (Base-Case)'!N116</f>
        <v>0</v>
      </c>
      <c r="O116" s="187">
        <f>'IS (Bull-Case)'!O116-'IS (Base-Case)'!O116</f>
        <v>0</v>
      </c>
      <c r="P116" s="187">
        <f>'IS (Bull-Case)'!P116-'IS (Base-Case)'!P116</f>
        <v>0</v>
      </c>
      <c r="Q116" s="167">
        <f>'IS (Bull-Case)'!Q116-'IS (Base-Case)'!Q116</f>
        <v>0</v>
      </c>
      <c r="R116" s="188">
        <f>'IS (Bull-Case)'!R116-'IS (Base-Case)'!R116</f>
        <v>0</v>
      </c>
      <c r="S116" s="187">
        <f>'IS (Bull-Case)'!S116-'IS (Base-Case)'!S116</f>
        <v>0</v>
      </c>
      <c r="T116" s="187">
        <f>'IS (Bull-Case)'!T116-'IS (Base-Case)'!T116</f>
        <v>0</v>
      </c>
      <c r="U116" s="187">
        <f>'IS (Bull-Case)'!U116-'IS (Base-Case)'!U116</f>
        <v>0</v>
      </c>
      <c r="V116" s="189">
        <f>'IS (Bull-Case)'!V116-'IS (Base-Case)'!V116</f>
        <v>0</v>
      </c>
      <c r="W116" s="188">
        <f>'IS (Bull-Case)'!W116-'IS (Base-Case)'!W116</f>
        <v>0</v>
      </c>
      <c r="X116" s="189">
        <f>'IS (Bull-Case)'!X116-'IS (Base-Case)'!X116</f>
        <v>0</v>
      </c>
      <c r="Y116" s="189">
        <f>'IS (Bull-Case)'!Y116-'IS (Base-Case)'!Y116</f>
        <v>0</v>
      </c>
      <c r="Z116" s="189">
        <f>'IS (Bull-Case)'!Z116-'IS (Base-Case)'!Z116</f>
        <v>0</v>
      </c>
      <c r="AA116" s="189">
        <f>'IS (Bull-Case)'!AA116-'IS (Base-Case)'!AA116</f>
        <v>0</v>
      </c>
      <c r="AB116" s="188">
        <f>'IS (Bull-Case)'!AB116-'IS (Base-Case)'!AB116</f>
        <v>0</v>
      </c>
      <c r="AC116" s="189">
        <f>'IS (Bull-Case)'!AC116-'IS (Base-Case)'!AC116</f>
        <v>0</v>
      </c>
      <c r="AD116" s="189">
        <f>'IS (Bull-Case)'!AD116-'IS (Base-Case)'!AD116</f>
        <v>0</v>
      </c>
      <c r="AE116" s="189">
        <f>'IS (Bull-Case)'!AE116-'IS (Base-Case)'!AE116</f>
        <v>0</v>
      </c>
      <c r="AF116" s="189">
        <f>'IS (Bull-Case)'!AF116-'IS (Base-Case)'!AF116</f>
        <v>0</v>
      </c>
      <c r="AG116" s="188">
        <f>'IS (Bull-Case)'!AG116-'IS (Base-Case)'!AG116</f>
        <v>0</v>
      </c>
      <c r="AH116" s="189">
        <f>'IS (Bull-Case)'!AH116-'IS (Base-Case)'!AH116</f>
        <v>0</v>
      </c>
      <c r="AI116" s="189">
        <f>'IS (Bull-Case)'!AI116-'IS (Base-Case)'!AI116</f>
        <v>0</v>
      </c>
      <c r="AJ116" s="189">
        <f>'IS (Bull-Case)'!AJ116-'IS (Base-Case)'!AJ116</f>
        <v>0</v>
      </c>
      <c r="AK116" s="189">
        <f>'IS (Bull-Case)'!AK116-'IS (Base-Case)'!AK116</f>
        <v>0</v>
      </c>
      <c r="AL116" s="188">
        <f>'IS (Bull-Case)'!AL116-'IS (Base-Case)'!AL116</f>
        <v>0</v>
      </c>
      <c r="AM116" s="189">
        <f>'IS (Bull-Case)'!AM116-'IS (Base-Case)'!AM116</f>
        <v>0</v>
      </c>
      <c r="AN116" s="189">
        <f>'IS (Bull-Case)'!AN116-'IS (Base-Case)'!AN116</f>
        <v>0</v>
      </c>
      <c r="AO116" s="189">
        <f>'IS (Bull-Case)'!AO116-'IS (Base-Case)'!AO116</f>
        <v>0</v>
      </c>
      <c r="AP116" s="189">
        <f>'IS (Bull-Case)'!AP116-'IS (Base-Case)'!AP116</f>
        <v>0</v>
      </c>
      <c r="AQ116" s="188">
        <f>'IS (Bull-Case)'!AQ116-'IS (Base-Case)'!AQ116</f>
        <v>0</v>
      </c>
      <c r="AR116" s="189">
        <f>'IS (Bull-Case)'!AR116-'IS (Base-Case)'!AR116</f>
        <v>0</v>
      </c>
      <c r="AS116" s="189">
        <f>'IS (Bull-Case)'!AS116-'IS (Base-Case)'!AS116</f>
        <v>0</v>
      </c>
      <c r="AT116" s="189">
        <f>'IS (Bull-Case)'!AT116-'IS (Base-Case)'!AT116</f>
        <v>0</v>
      </c>
      <c r="AU116" s="189">
        <f>'IS (Bull-Case)'!AU116-'IS (Base-Case)'!AU116</f>
        <v>0</v>
      </c>
      <c r="AV116" s="188">
        <f>'IS (Bull-Case)'!AV116-'IS (Base-Case)'!AV116</f>
        <v>0</v>
      </c>
    </row>
    <row r="117" spans="2:48" ht="16.2" outlineLevel="1" x14ac:dyDescent="0.45">
      <c r="B117" s="180" t="s">
        <v>42</v>
      </c>
      <c r="C117" s="18"/>
      <c r="D117" s="119">
        <f>'IS (Bull-Case)'!D117-'IS (Base-Case)'!D117</f>
        <v>0</v>
      </c>
      <c r="E117" s="119">
        <f>'IS (Bull-Case)'!E117-'IS (Base-Case)'!E117</f>
        <v>0</v>
      </c>
      <c r="F117" s="119">
        <f>'IS (Bull-Case)'!F117-'IS (Base-Case)'!F117</f>
        <v>0</v>
      </c>
      <c r="G117" s="119">
        <f>'IS (Bull-Case)'!G117-'IS (Base-Case)'!G117</f>
        <v>0</v>
      </c>
      <c r="H117" s="131">
        <f>'IS (Bull-Case)'!H117-'IS (Base-Case)'!H117</f>
        <v>0</v>
      </c>
      <c r="I117" s="119">
        <f>'IS (Bull-Case)'!I117-'IS (Base-Case)'!I117</f>
        <v>0</v>
      </c>
      <c r="J117" s="119">
        <f>'IS (Bull-Case)'!J117-'IS (Base-Case)'!J117</f>
        <v>0</v>
      </c>
      <c r="K117" s="119">
        <f>'IS (Bull-Case)'!K117-'IS (Base-Case)'!K117</f>
        <v>0</v>
      </c>
      <c r="L117" s="119">
        <f>'IS (Bull-Case)'!L117-'IS (Base-Case)'!L117</f>
        <v>0</v>
      </c>
      <c r="M117" s="131">
        <f>'IS (Bull-Case)'!M117-'IS (Base-Case)'!M117</f>
        <v>0</v>
      </c>
      <c r="N117" s="119">
        <f>'IS (Bull-Case)'!N117-'IS (Base-Case)'!N117</f>
        <v>0</v>
      </c>
      <c r="O117" s="119">
        <f>'IS (Bull-Case)'!O117-'IS (Base-Case)'!O117</f>
        <v>0</v>
      </c>
      <c r="P117" s="119">
        <f>'IS (Bull-Case)'!P117-'IS (Base-Case)'!P117</f>
        <v>0</v>
      </c>
      <c r="Q117" s="119">
        <f>'IS (Bull-Case)'!Q117-'IS (Base-Case)'!Q117</f>
        <v>0</v>
      </c>
      <c r="R117" s="131">
        <f>'IS (Bull-Case)'!R117-'IS (Base-Case)'!R117</f>
        <v>0</v>
      </c>
      <c r="S117" s="119">
        <f>'IS (Bull-Case)'!S117-'IS (Base-Case)'!S117</f>
        <v>0</v>
      </c>
      <c r="T117" s="119">
        <f>'IS (Bull-Case)'!T117-'IS (Base-Case)'!T117</f>
        <v>0</v>
      </c>
      <c r="U117" s="119">
        <f>'IS (Bull-Case)'!U117-'IS (Base-Case)'!U117</f>
        <v>0</v>
      </c>
      <c r="V117" s="119">
        <f>'IS (Bull-Case)'!V117-'IS (Base-Case)'!V117</f>
        <v>0</v>
      </c>
      <c r="W117" s="131">
        <f>'IS (Bull-Case)'!W117-'IS (Base-Case)'!W117</f>
        <v>0</v>
      </c>
      <c r="X117" s="119">
        <f>'IS (Bull-Case)'!X117-'IS (Base-Case)'!X117</f>
        <v>0</v>
      </c>
      <c r="Y117" s="119">
        <f>'IS (Bull-Case)'!Y117-'IS (Base-Case)'!Y117</f>
        <v>0</v>
      </c>
      <c r="Z117" s="119">
        <f>'IS (Bull-Case)'!Z117-'IS (Base-Case)'!Z117</f>
        <v>0</v>
      </c>
      <c r="AA117" s="119">
        <f>'IS (Bull-Case)'!AA117-'IS (Base-Case)'!AA117</f>
        <v>0</v>
      </c>
      <c r="AB117" s="131">
        <f>'IS (Bull-Case)'!AB117-'IS (Base-Case)'!AB117</f>
        <v>0</v>
      </c>
      <c r="AC117" s="119">
        <f>'IS (Bull-Case)'!AC117-'IS (Base-Case)'!AC117</f>
        <v>0</v>
      </c>
      <c r="AD117" s="119">
        <f>'IS (Bull-Case)'!AD117-'IS (Base-Case)'!AD117</f>
        <v>0</v>
      </c>
      <c r="AE117" s="119">
        <f>'IS (Bull-Case)'!AE117-'IS (Base-Case)'!AE117</f>
        <v>0</v>
      </c>
      <c r="AF117" s="119">
        <f>'IS (Bull-Case)'!AF117-'IS (Base-Case)'!AF117</f>
        <v>0</v>
      </c>
      <c r="AG117" s="131">
        <f>'IS (Bull-Case)'!AG117-'IS (Base-Case)'!AG117</f>
        <v>0</v>
      </c>
      <c r="AH117" s="119">
        <f>'IS (Bull-Case)'!AH117-'IS (Base-Case)'!AH117</f>
        <v>0</v>
      </c>
      <c r="AI117" s="119">
        <f>'IS (Bull-Case)'!AI117-'IS (Base-Case)'!AI117</f>
        <v>0</v>
      </c>
      <c r="AJ117" s="119">
        <f>'IS (Bull-Case)'!AJ117-'IS (Base-Case)'!AJ117</f>
        <v>0</v>
      </c>
      <c r="AK117" s="119">
        <f>'IS (Bull-Case)'!AK117-'IS (Base-Case)'!AK117</f>
        <v>0</v>
      </c>
      <c r="AL117" s="131">
        <f>'IS (Bull-Case)'!AL117-'IS (Base-Case)'!AL117</f>
        <v>0</v>
      </c>
      <c r="AM117" s="119">
        <f>'IS (Bull-Case)'!AM117-'IS (Base-Case)'!AM117</f>
        <v>0</v>
      </c>
      <c r="AN117" s="119">
        <f>'IS (Bull-Case)'!AN117-'IS (Base-Case)'!AN117</f>
        <v>0</v>
      </c>
      <c r="AO117" s="119">
        <f>'IS (Bull-Case)'!AO117-'IS (Base-Case)'!AO117</f>
        <v>0</v>
      </c>
      <c r="AP117" s="119">
        <f>'IS (Bull-Case)'!AP117-'IS (Base-Case)'!AP117</f>
        <v>0</v>
      </c>
      <c r="AQ117" s="131">
        <f>'IS (Bull-Case)'!AQ117-'IS (Base-Case)'!AQ117</f>
        <v>0</v>
      </c>
      <c r="AR117" s="119">
        <f>'IS (Bull-Case)'!AR117-'IS (Base-Case)'!AR117</f>
        <v>0</v>
      </c>
      <c r="AS117" s="119">
        <f>'IS (Bull-Case)'!AS117-'IS (Base-Case)'!AS117</f>
        <v>0</v>
      </c>
      <c r="AT117" s="119">
        <f>'IS (Bull-Case)'!AT117-'IS (Base-Case)'!AT117</f>
        <v>0</v>
      </c>
      <c r="AU117" s="119">
        <f>'IS (Bull-Case)'!AU117-'IS (Base-Case)'!AU117</f>
        <v>0</v>
      </c>
      <c r="AV117" s="131">
        <f>'IS (Bull-Case)'!AV117-'IS (Base-Case)'!AV117</f>
        <v>0</v>
      </c>
    </row>
    <row r="118" spans="2:48" outlineLevel="1" x14ac:dyDescent="0.3">
      <c r="B118" s="46" t="s">
        <v>52</v>
      </c>
      <c r="C118" s="19"/>
      <c r="D118" s="50">
        <f>'IS (Bull-Case)'!D118-'IS (Base-Case)'!D118</f>
        <v>0</v>
      </c>
      <c r="E118" s="50">
        <f>'IS (Bull-Case)'!E118-'IS (Base-Case)'!E118</f>
        <v>0</v>
      </c>
      <c r="F118" s="50">
        <f>'IS (Bull-Case)'!F118-'IS (Base-Case)'!F118</f>
        <v>0</v>
      </c>
      <c r="G118" s="50">
        <f>'IS (Bull-Case)'!G118-'IS (Base-Case)'!G118</f>
        <v>0</v>
      </c>
      <c r="H118" s="26">
        <f>'IS (Bull-Case)'!H118-'IS (Base-Case)'!H118</f>
        <v>0</v>
      </c>
      <c r="I118" s="50">
        <f>'IS (Bull-Case)'!I118-'IS (Base-Case)'!I118</f>
        <v>0</v>
      </c>
      <c r="J118" s="50">
        <f>'IS (Bull-Case)'!J118-'IS (Base-Case)'!J118</f>
        <v>0</v>
      </c>
      <c r="K118" s="50">
        <f>'IS (Bull-Case)'!K118-'IS (Base-Case)'!K118</f>
        <v>0</v>
      </c>
      <c r="L118" s="50">
        <f>'IS (Bull-Case)'!L118-'IS (Base-Case)'!L118</f>
        <v>0</v>
      </c>
      <c r="M118" s="26">
        <f>'IS (Bull-Case)'!M118-'IS (Base-Case)'!M118</f>
        <v>0</v>
      </c>
      <c r="N118" s="50">
        <f>'IS (Bull-Case)'!N118-'IS (Base-Case)'!N118</f>
        <v>0</v>
      </c>
      <c r="O118" s="50">
        <f>'IS (Bull-Case)'!O118-'IS (Base-Case)'!O118</f>
        <v>0</v>
      </c>
      <c r="P118" s="50">
        <f>'IS (Bull-Case)'!P118-'IS (Base-Case)'!P118</f>
        <v>0</v>
      </c>
      <c r="Q118" s="103">
        <f>'IS (Bull-Case)'!Q118-'IS (Base-Case)'!Q118</f>
        <v>0</v>
      </c>
      <c r="R118" s="26">
        <f>'IS (Bull-Case)'!R118-'IS (Base-Case)'!R118</f>
        <v>0</v>
      </c>
      <c r="S118" s="50">
        <f>'IS (Bull-Case)'!S118-'IS (Base-Case)'!S118</f>
        <v>0</v>
      </c>
      <c r="T118" s="50">
        <f>'IS (Bull-Case)'!T118-'IS (Base-Case)'!T118</f>
        <v>0</v>
      </c>
      <c r="U118" s="50">
        <f>'IS (Bull-Case)'!U118-'IS (Base-Case)'!U118</f>
        <v>0</v>
      </c>
      <c r="V118" s="50">
        <f>'IS (Bull-Case)'!V118-'IS (Base-Case)'!V118</f>
        <v>0</v>
      </c>
      <c r="W118" s="26">
        <f>'IS (Bull-Case)'!W118-'IS (Base-Case)'!W118</f>
        <v>0</v>
      </c>
      <c r="X118" s="50">
        <f>'IS (Bull-Case)'!X118-'IS (Base-Case)'!X118</f>
        <v>0</v>
      </c>
      <c r="Y118" s="50">
        <f>'IS (Bull-Case)'!Y118-'IS (Base-Case)'!Y118</f>
        <v>0</v>
      </c>
      <c r="Z118" s="50">
        <f>'IS (Bull-Case)'!Z118-'IS (Base-Case)'!Z118</f>
        <v>0</v>
      </c>
      <c r="AA118" s="50">
        <f>'IS (Bull-Case)'!AA118-'IS (Base-Case)'!AA118</f>
        <v>0</v>
      </c>
      <c r="AB118" s="26">
        <f>'IS (Bull-Case)'!AB118-'IS (Base-Case)'!AB118</f>
        <v>0</v>
      </c>
      <c r="AC118" s="50">
        <f>'IS (Bull-Case)'!AC118-'IS (Base-Case)'!AC118</f>
        <v>0</v>
      </c>
      <c r="AD118" s="50">
        <f>'IS (Bull-Case)'!AD118-'IS (Base-Case)'!AD118</f>
        <v>0</v>
      </c>
      <c r="AE118" s="50">
        <f>'IS (Bull-Case)'!AE118-'IS (Base-Case)'!AE118</f>
        <v>0</v>
      </c>
      <c r="AF118" s="50">
        <f>'IS (Bull-Case)'!AF118-'IS (Base-Case)'!AF118</f>
        <v>0</v>
      </c>
      <c r="AG118" s="26">
        <f>'IS (Bull-Case)'!AG118-'IS (Base-Case)'!AG118</f>
        <v>0</v>
      </c>
      <c r="AH118" s="50">
        <f>'IS (Bull-Case)'!AH118-'IS (Base-Case)'!AH118</f>
        <v>0</v>
      </c>
      <c r="AI118" s="50">
        <f>'IS (Bull-Case)'!AI118-'IS (Base-Case)'!AI118</f>
        <v>0</v>
      </c>
      <c r="AJ118" s="50">
        <f>'IS (Bull-Case)'!AJ118-'IS (Base-Case)'!AJ118</f>
        <v>0</v>
      </c>
      <c r="AK118" s="50">
        <f>'IS (Bull-Case)'!AK118-'IS (Base-Case)'!AK118</f>
        <v>0</v>
      </c>
      <c r="AL118" s="26">
        <f>'IS (Bull-Case)'!AL118-'IS (Base-Case)'!AL118</f>
        <v>0</v>
      </c>
      <c r="AM118" s="50">
        <f>'IS (Bull-Case)'!AM118-'IS (Base-Case)'!AM118</f>
        <v>0</v>
      </c>
      <c r="AN118" s="50">
        <f>'IS (Bull-Case)'!AN118-'IS (Base-Case)'!AN118</f>
        <v>0</v>
      </c>
      <c r="AO118" s="50">
        <f>'IS (Bull-Case)'!AO118-'IS (Base-Case)'!AO118</f>
        <v>0</v>
      </c>
      <c r="AP118" s="50">
        <f>'IS (Bull-Case)'!AP118-'IS (Base-Case)'!AP118</f>
        <v>0</v>
      </c>
      <c r="AQ118" s="26">
        <f>'IS (Bull-Case)'!AQ118-'IS (Base-Case)'!AQ118</f>
        <v>0</v>
      </c>
      <c r="AR118" s="50">
        <f>'IS (Bull-Case)'!AR118-'IS (Base-Case)'!AR118</f>
        <v>0</v>
      </c>
      <c r="AS118" s="50">
        <f>'IS (Bull-Case)'!AS118-'IS (Base-Case)'!AS118</f>
        <v>0</v>
      </c>
      <c r="AT118" s="50">
        <f>'IS (Bull-Case)'!AT118-'IS (Base-Case)'!AT118</f>
        <v>0</v>
      </c>
      <c r="AU118" s="50">
        <f>'IS (Bull-Case)'!AU118-'IS (Base-Case)'!AU118</f>
        <v>0</v>
      </c>
      <c r="AV118" s="26">
        <f>'IS (Bull-Case)'!AV118-'IS (Base-Case)'!AV118</f>
        <v>0</v>
      </c>
    </row>
    <row r="119" spans="2:48" ht="16.2" outlineLevel="1" x14ac:dyDescent="0.45">
      <c r="B119" s="47" t="s">
        <v>36</v>
      </c>
      <c r="C119" s="44"/>
      <c r="D119" s="52">
        <f>'IS (Bull-Case)'!D119-'IS (Base-Case)'!D119</f>
        <v>0</v>
      </c>
      <c r="E119" s="104">
        <f>'IS (Bull-Case)'!E119-'IS (Base-Case)'!E119</f>
        <v>0</v>
      </c>
      <c r="F119" s="104">
        <f>'IS (Bull-Case)'!F119-'IS (Base-Case)'!F119</f>
        <v>0</v>
      </c>
      <c r="G119" s="104">
        <f>'IS (Bull-Case)'!G119-'IS (Base-Case)'!G119</f>
        <v>0</v>
      </c>
      <c r="H119" s="193">
        <f>'IS (Bull-Case)'!H119-'IS (Base-Case)'!H119</f>
        <v>0</v>
      </c>
      <c r="I119" s="104">
        <f>'IS (Bull-Case)'!I119-'IS (Base-Case)'!I119</f>
        <v>0</v>
      </c>
      <c r="J119" s="104">
        <f>'IS (Bull-Case)'!J119-'IS (Base-Case)'!J119</f>
        <v>0</v>
      </c>
      <c r="K119" s="104">
        <f>'IS (Bull-Case)'!K119-'IS (Base-Case)'!K119</f>
        <v>0</v>
      </c>
      <c r="L119" s="104">
        <f>'IS (Bull-Case)'!L119-'IS (Base-Case)'!L119</f>
        <v>0</v>
      </c>
      <c r="M119" s="193">
        <f>'IS (Bull-Case)'!M119-'IS (Base-Case)'!M119</f>
        <v>0</v>
      </c>
      <c r="N119" s="104">
        <f>'IS (Bull-Case)'!N119-'IS (Base-Case)'!N119</f>
        <v>0</v>
      </c>
      <c r="O119" s="104">
        <f>'IS (Bull-Case)'!O119-'IS (Base-Case)'!O119</f>
        <v>0</v>
      </c>
      <c r="P119" s="104">
        <f>'IS (Bull-Case)'!P119-'IS (Base-Case)'!P119</f>
        <v>0</v>
      </c>
      <c r="Q119" s="104">
        <f>'IS (Bull-Case)'!Q119-'IS (Base-Case)'!Q119</f>
        <v>0</v>
      </c>
      <c r="R119" s="193">
        <f>'IS (Bull-Case)'!R119-'IS (Base-Case)'!R119</f>
        <v>0</v>
      </c>
      <c r="S119" s="104">
        <f>'IS (Bull-Case)'!S119-'IS (Base-Case)'!S119</f>
        <v>0</v>
      </c>
      <c r="T119" s="104">
        <f>'IS (Bull-Case)'!T119-'IS (Base-Case)'!T119</f>
        <v>0</v>
      </c>
      <c r="U119" s="104">
        <f>'IS (Bull-Case)'!U119-'IS (Base-Case)'!U119</f>
        <v>0</v>
      </c>
      <c r="V119" s="56">
        <f>'IS (Bull-Case)'!V119-'IS (Base-Case)'!V119</f>
        <v>0</v>
      </c>
      <c r="W119" s="193">
        <f>'IS (Bull-Case)'!W119-'IS (Base-Case)'!W119</f>
        <v>0</v>
      </c>
      <c r="X119" s="56">
        <f>'IS (Bull-Case)'!X119-'IS (Base-Case)'!X119</f>
        <v>0</v>
      </c>
      <c r="Y119" s="56">
        <f>'IS (Bull-Case)'!Y119-'IS (Base-Case)'!Y119</f>
        <v>0</v>
      </c>
      <c r="Z119" s="56">
        <f>'IS (Bull-Case)'!Z119-'IS (Base-Case)'!Z119</f>
        <v>0</v>
      </c>
      <c r="AA119" s="56">
        <f>'IS (Bull-Case)'!AA119-'IS (Base-Case)'!AA119</f>
        <v>0</v>
      </c>
      <c r="AB119" s="193">
        <f>'IS (Bull-Case)'!AB119-'IS (Base-Case)'!AB119</f>
        <v>0</v>
      </c>
      <c r="AC119" s="56">
        <f>'IS (Bull-Case)'!AC119-'IS (Base-Case)'!AC119</f>
        <v>0</v>
      </c>
      <c r="AD119" s="56">
        <f>'IS (Bull-Case)'!AD119-'IS (Base-Case)'!AD119</f>
        <v>0</v>
      </c>
      <c r="AE119" s="56">
        <f>'IS (Bull-Case)'!AE119-'IS (Base-Case)'!AE119</f>
        <v>0</v>
      </c>
      <c r="AF119" s="56">
        <f>'IS (Bull-Case)'!AF119-'IS (Base-Case)'!AF119</f>
        <v>0</v>
      </c>
      <c r="AG119" s="193">
        <f>'IS (Bull-Case)'!AG119-'IS (Base-Case)'!AG119</f>
        <v>0</v>
      </c>
      <c r="AH119" s="56">
        <f>'IS (Bull-Case)'!AH119-'IS (Base-Case)'!AH119</f>
        <v>0</v>
      </c>
      <c r="AI119" s="56">
        <f>'IS (Bull-Case)'!AI119-'IS (Base-Case)'!AI119</f>
        <v>0</v>
      </c>
      <c r="AJ119" s="56">
        <f>'IS (Bull-Case)'!AJ119-'IS (Base-Case)'!AJ119</f>
        <v>0</v>
      </c>
      <c r="AK119" s="56">
        <f>'IS (Bull-Case)'!AK119-'IS (Base-Case)'!AK119</f>
        <v>0</v>
      </c>
      <c r="AL119" s="193">
        <f>'IS (Bull-Case)'!AL119-'IS (Base-Case)'!AL119</f>
        <v>0</v>
      </c>
      <c r="AM119" s="56">
        <f>'IS (Bull-Case)'!AM119-'IS (Base-Case)'!AM119</f>
        <v>0</v>
      </c>
      <c r="AN119" s="56">
        <f>'IS (Bull-Case)'!AN119-'IS (Base-Case)'!AN119</f>
        <v>0</v>
      </c>
      <c r="AO119" s="56">
        <f>'IS (Bull-Case)'!AO119-'IS (Base-Case)'!AO119</f>
        <v>0</v>
      </c>
      <c r="AP119" s="56">
        <f>'IS (Bull-Case)'!AP119-'IS (Base-Case)'!AP119</f>
        <v>0</v>
      </c>
      <c r="AQ119" s="193">
        <f>'IS (Bull-Case)'!AQ119-'IS (Base-Case)'!AQ119</f>
        <v>0</v>
      </c>
      <c r="AR119" s="56">
        <f>'IS (Bull-Case)'!AR119-'IS (Base-Case)'!AR119</f>
        <v>0</v>
      </c>
      <c r="AS119" s="56">
        <f>'IS (Bull-Case)'!AS119-'IS (Base-Case)'!AS119</f>
        <v>0</v>
      </c>
      <c r="AT119" s="56">
        <f>'IS (Bull-Case)'!AT119-'IS (Base-Case)'!AT119</f>
        <v>0</v>
      </c>
      <c r="AU119" s="56">
        <f>'IS (Bull-Case)'!AU119-'IS (Base-Case)'!AU119</f>
        <v>0</v>
      </c>
      <c r="AV119" s="193">
        <f>'IS (Bull-Case)'!AV119-'IS (Base-Case)'!AV119</f>
        <v>0</v>
      </c>
    </row>
    <row r="120" spans="2:48" outlineLevel="1" x14ac:dyDescent="0.3">
      <c r="B120" s="46" t="s">
        <v>53</v>
      </c>
      <c r="C120" s="44"/>
      <c r="D120" s="156">
        <f>'IS (Bull-Case)'!D120-'IS (Base-Case)'!D120</f>
        <v>0</v>
      </c>
      <c r="E120" s="156">
        <f>'IS (Bull-Case)'!E120-'IS (Base-Case)'!E120</f>
        <v>0</v>
      </c>
      <c r="F120" s="156">
        <f>'IS (Bull-Case)'!F120-'IS (Base-Case)'!F120</f>
        <v>0</v>
      </c>
      <c r="G120" s="156">
        <f>'IS (Bull-Case)'!G120-'IS (Base-Case)'!G120</f>
        <v>0</v>
      </c>
      <c r="H120" s="97">
        <f>'IS (Bull-Case)'!H120-'IS (Base-Case)'!H120</f>
        <v>0</v>
      </c>
      <c r="I120" s="156">
        <f>'IS (Bull-Case)'!I120-'IS (Base-Case)'!I120</f>
        <v>0</v>
      </c>
      <c r="J120" s="156">
        <f>'IS (Bull-Case)'!J120-'IS (Base-Case)'!J120</f>
        <v>0</v>
      </c>
      <c r="K120" s="156">
        <f>'IS (Bull-Case)'!K120-'IS (Base-Case)'!K120</f>
        <v>0</v>
      </c>
      <c r="L120" s="74">
        <f>'IS (Bull-Case)'!L120-'IS (Base-Case)'!L120</f>
        <v>0</v>
      </c>
      <c r="M120" s="97">
        <f>'IS (Bull-Case)'!M120-'IS (Base-Case)'!M120</f>
        <v>0</v>
      </c>
      <c r="N120" s="74">
        <f>'IS (Bull-Case)'!N120-'IS (Base-Case)'!N120</f>
        <v>0</v>
      </c>
      <c r="O120" s="74">
        <f>'IS (Bull-Case)'!O120-'IS (Base-Case)'!O120</f>
        <v>0</v>
      </c>
      <c r="P120" s="74">
        <f>'IS (Bull-Case)'!P120-'IS (Base-Case)'!P120</f>
        <v>0</v>
      </c>
      <c r="Q120" s="74">
        <f>'IS (Bull-Case)'!Q120-'IS (Base-Case)'!Q120</f>
        <v>0</v>
      </c>
      <c r="R120" s="97">
        <f>'IS (Bull-Case)'!R120-'IS (Base-Case)'!R120</f>
        <v>0</v>
      </c>
      <c r="S120" s="74">
        <f>'IS (Bull-Case)'!S120-'IS (Base-Case)'!S120</f>
        <v>0</v>
      </c>
      <c r="T120" s="74">
        <f>'IS (Bull-Case)'!T120-'IS (Base-Case)'!T120</f>
        <v>0</v>
      </c>
      <c r="U120" s="74">
        <f>'IS (Bull-Case)'!U120-'IS (Base-Case)'!U120</f>
        <v>0</v>
      </c>
      <c r="V120" s="74">
        <f>'IS (Bull-Case)'!V120-'IS (Base-Case)'!V120</f>
        <v>0</v>
      </c>
      <c r="W120" s="97">
        <f>'IS (Bull-Case)'!W120-'IS (Base-Case)'!W120</f>
        <v>0</v>
      </c>
      <c r="X120" s="74">
        <f>'IS (Bull-Case)'!X120-'IS (Base-Case)'!X120</f>
        <v>0</v>
      </c>
      <c r="Y120" s="74">
        <f>'IS (Bull-Case)'!Y120-'IS (Base-Case)'!Y120</f>
        <v>0</v>
      </c>
      <c r="Z120" s="74">
        <f>'IS (Bull-Case)'!Z120-'IS (Base-Case)'!Z120</f>
        <v>0</v>
      </c>
      <c r="AA120" s="74">
        <f>'IS (Bull-Case)'!AA120-'IS (Base-Case)'!AA120</f>
        <v>0</v>
      </c>
      <c r="AB120" s="97">
        <f>'IS (Bull-Case)'!AB120-'IS (Base-Case)'!AB120</f>
        <v>0</v>
      </c>
      <c r="AC120" s="74">
        <f>'IS (Bull-Case)'!AC120-'IS (Base-Case)'!AC120</f>
        <v>0</v>
      </c>
      <c r="AD120" s="74">
        <f>'IS (Bull-Case)'!AD120-'IS (Base-Case)'!AD120</f>
        <v>0</v>
      </c>
      <c r="AE120" s="74">
        <f>'IS (Bull-Case)'!AE120-'IS (Base-Case)'!AE120</f>
        <v>0</v>
      </c>
      <c r="AF120" s="74">
        <f>'IS (Bull-Case)'!AF120-'IS (Base-Case)'!AF120</f>
        <v>0</v>
      </c>
      <c r="AG120" s="97">
        <f>'IS (Bull-Case)'!AG120-'IS (Base-Case)'!AG120</f>
        <v>0</v>
      </c>
      <c r="AH120" s="74">
        <f>'IS (Bull-Case)'!AH120-'IS (Base-Case)'!AH120</f>
        <v>0</v>
      </c>
      <c r="AI120" s="74">
        <f>'IS (Bull-Case)'!AI120-'IS (Base-Case)'!AI120</f>
        <v>0</v>
      </c>
      <c r="AJ120" s="74">
        <f>'IS (Bull-Case)'!AJ120-'IS (Base-Case)'!AJ120</f>
        <v>0</v>
      </c>
      <c r="AK120" s="74">
        <f>'IS (Bull-Case)'!AK120-'IS (Base-Case)'!AK120</f>
        <v>0</v>
      </c>
      <c r="AL120" s="97">
        <f>'IS (Bull-Case)'!AL120-'IS (Base-Case)'!AL120</f>
        <v>0</v>
      </c>
      <c r="AM120" s="74">
        <f>'IS (Bull-Case)'!AM120-'IS (Base-Case)'!AM120</f>
        <v>0</v>
      </c>
      <c r="AN120" s="74">
        <f>'IS (Bull-Case)'!AN120-'IS (Base-Case)'!AN120</f>
        <v>0</v>
      </c>
      <c r="AO120" s="74">
        <f>'IS (Bull-Case)'!AO120-'IS (Base-Case)'!AO120</f>
        <v>0</v>
      </c>
      <c r="AP120" s="74">
        <f>'IS (Bull-Case)'!AP120-'IS (Base-Case)'!AP120</f>
        <v>0</v>
      </c>
      <c r="AQ120" s="97">
        <f>'IS (Bull-Case)'!AQ120-'IS (Base-Case)'!AQ120</f>
        <v>0</v>
      </c>
      <c r="AR120" s="74">
        <f>'IS (Bull-Case)'!AR120-'IS (Base-Case)'!AR120</f>
        <v>0</v>
      </c>
      <c r="AS120" s="74">
        <f>'IS (Bull-Case)'!AS120-'IS (Base-Case)'!AS120</f>
        <v>0</v>
      </c>
      <c r="AT120" s="74">
        <f>'IS (Bull-Case)'!AT120-'IS (Base-Case)'!AT120</f>
        <v>0</v>
      </c>
      <c r="AU120" s="74">
        <f>'IS (Bull-Case)'!AU120-'IS (Base-Case)'!AU120</f>
        <v>0</v>
      </c>
      <c r="AV120" s="97">
        <f>'IS (Bull-Case)'!AV120-'IS (Base-Case)'!AV120</f>
        <v>0</v>
      </c>
    </row>
    <row r="121" spans="2:48" outlineLevel="1" x14ac:dyDescent="0.3">
      <c r="B121" s="46" t="s">
        <v>54</v>
      </c>
      <c r="C121" s="44"/>
      <c r="D121" s="157">
        <f>'IS (Bull-Case)'!D121-'IS (Base-Case)'!D121</f>
        <v>0</v>
      </c>
      <c r="E121" s="157">
        <f>'IS (Bull-Case)'!E121-'IS (Base-Case)'!E121</f>
        <v>0</v>
      </c>
      <c r="F121" s="157">
        <f>'IS (Bull-Case)'!F121-'IS (Base-Case)'!F121</f>
        <v>0</v>
      </c>
      <c r="G121" s="157">
        <f>'IS (Bull-Case)'!G121-'IS (Base-Case)'!G121</f>
        <v>0</v>
      </c>
      <c r="H121" s="125">
        <f>'IS (Bull-Case)'!H121-'IS (Base-Case)'!H121</f>
        <v>0</v>
      </c>
      <c r="I121" s="157">
        <f>'IS (Bull-Case)'!I121-'IS (Base-Case)'!I121</f>
        <v>0</v>
      </c>
      <c r="J121" s="157">
        <f>'IS (Bull-Case)'!J121-'IS (Base-Case)'!J121</f>
        <v>0</v>
      </c>
      <c r="K121" s="157">
        <f>'IS (Bull-Case)'!K121-'IS (Base-Case)'!K121</f>
        <v>0</v>
      </c>
      <c r="L121" s="75">
        <f>'IS (Bull-Case)'!L121-'IS (Base-Case)'!L121</f>
        <v>0</v>
      </c>
      <c r="M121" s="98">
        <f>'IS (Bull-Case)'!M121-'IS (Base-Case)'!M121</f>
        <v>0</v>
      </c>
      <c r="N121" s="75">
        <f>'IS (Bull-Case)'!N121-'IS (Base-Case)'!N121</f>
        <v>0</v>
      </c>
      <c r="O121" s="75">
        <f>'IS (Bull-Case)'!O121-'IS (Base-Case)'!O121</f>
        <v>0</v>
      </c>
      <c r="P121" s="75">
        <f>'IS (Bull-Case)'!P121-'IS (Base-Case)'!P121</f>
        <v>0</v>
      </c>
      <c r="Q121" s="75">
        <f>'IS (Bull-Case)'!Q121-'IS (Base-Case)'!Q121</f>
        <v>0</v>
      </c>
      <c r="R121" s="98">
        <f>'IS (Bull-Case)'!R121-'IS (Base-Case)'!R121</f>
        <v>0</v>
      </c>
      <c r="S121" s="75">
        <f>'IS (Bull-Case)'!S121-'IS (Base-Case)'!S121</f>
        <v>0</v>
      </c>
      <c r="T121" s="75">
        <f>'IS (Bull-Case)'!T121-'IS (Base-Case)'!T121</f>
        <v>0</v>
      </c>
      <c r="U121" s="75">
        <f>'IS (Bull-Case)'!U121-'IS (Base-Case)'!U121</f>
        <v>0</v>
      </c>
      <c r="V121" s="75">
        <f>'IS (Bull-Case)'!V121-'IS (Base-Case)'!V121</f>
        <v>0</v>
      </c>
      <c r="W121" s="98">
        <f>'IS (Bull-Case)'!W121-'IS (Base-Case)'!W121</f>
        <v>0</v>
      </c>
      <c r="X121" s="75">
        <f>'IS (Bull-Case)'!X121-'IS (Base-Case)'!X121</f>
        <v>0</v>
      </c>
      <c r="Y121" s="75">
        <f>'IS (Bull-Case)'!Y121-'IS (Base-Case)'!Y121</f>
        <v>0</v>
      </c>
      <c r="Z121" s="75">
        <f>'IS (Bull-Case)'!Z121-'IS (Base-Case)'!Z121</f>
        <v>0</v>
      </c>
      <c r="AA121" s="75">
        <f>'IS (Bull-Case)'!AA121-'IS (Base-Case)'!AA121</f>
        <v>0</v>
      </c>
      <c r="AB121" s="98">
        <f>'IS (Bull-Case)'!AB121-'IS (Base-Case)'!AB121</f>
        <v>0</v>
      </c>
      <c r="AC121" s="75">
        <f>'IS (Bull-Case)'!AC121-'IS (Base-Case)'!AC121</f>
        <v>0</v>
      </c>
      <c r="AD121" s="75">
        <f>'IS (Bull-Case)'!AD121-'IS (Base-Case)'!AD121</f>
        <v>0</v>
      </c>
      <c r="AE121" s="75">
        <f>'IS (Bull-Case)'!AE121-'IS (Base-Case)'!AE121</f>
        <v>0</v>
      </c>
      <c r="AF121" s="75">
        <f>'IS (Bull-Case)'!AF121-'IS (Base-Case)'!AF121</f>
        <v>0</v>
      </c>
      <c r="AG121" s="98">
        <f>'IS (Bull-Case)'!AG121-'IS (Base-Case)'!AG121</f>
        <v>0</v>
      </c>
      <c r="AH121" s="75">
        <f>'IS (Bull-Case)'!AH121-'IS (Base-Case)'!AH121</f>
        <v>0</v>
      </c>
      <c r="AI121" s="75">
        <f>'IS (Bull-Case)'!AI121-'IS (Base-Case)'!AI121</f>
        <v>0</v>
      </c>
      <c r="AJ121" s="75">
        <f>'IS (Bull-Case)'!AJ121-'IS (Base-Case)'!AJ121</f>
        <v>0</v>
      </c>
      <c r="AK121" s="75">
        <f>'IS (Bull-Case)'!AK121-'IS (Base-Case)'!AK121</f>
        <v>0</v>
      </c>
      <c r="AL121" s="98">
        <f>'IS (Bull-Case)'!AL121-'IS (Base-Case)'!AL121</f>
        <v>0</v>
      </c>
      <c r="AM121" s="75">
        <f>'IS (Bull-Case)'!AM121-'IS (Base-Case)'!AM121</f>
        <v>0</v>
      </c>
      <c r="AN121" s="75">
        <f>'IS (Bull-Case)'!AN121-'IS (Base-Case)'!AN121</f>
        <v>0</v>
      </c>
      <c r="AO121" s="75">
        <f>'IS (Bull-Case)'!AO121-'IS (Base-Case)'!AO121</f>
        <v>0</v>
      </c>
      <c r="AP121" s="75">
        <f>'IS (Bull-Case)'!AP121-'IS (Base-Case)'!AP121</f>
        <v>0</v>
      </c>
      <c r="AQ121" s="98">
        <f>'IS (Bull-Case)'!AQ121-'IS (Base-Case)'!AQ121</f>
        <v>0</v>
      </c>
      <c r="AR121" s="75">
        <f>'IS (Bull-Case)'!AR121-'IS (Base-Case)'!AR121</f>
        <v>0</v>
      </c>
      <c r="AS121" s="75">
        <f>'IS (Bull-Case)'!AS121-'IS (Base-Case)'!AS121</f>
        <v>0</v>
      </c>
      <c r="AT121" s="75">
        <f>'IS (Bull-Case)'!AT121-'IS (Base-Case)'!AT121</f>
        <v>0</v>
      </c>
      <c r="AU121" s="75">
        <f>'IS (Bull-Case)'!AU121-'IS (Base-Case)'!AU121</f>
        <v>0</v>
      </c>
      <c r="AV121" s="98">
        <f>'IS (Bull-Case)'!AV121-'IS (Base-Case)'!AV121</f>
        <v>0</v>
      </c>
    </row>
    <row r="122" spans="2:48" ht="17.399999999999999" x14ac:dyDescent="0.45">
      <c r="B122" s="433" t="s">
        <v>55</v>
      </c>
      <c r="C122" s="434"/>
      <c r="D122" s="14" t="s">
        <v>19</v>
      </c>
      <c r="E122" s="14" t="s">
        <v>81</v>
      </c>
      <c r="F122" s="14" t="s">
        <v>85</v>
      </c>
      <c r="G122" s="14" t="s">
        <v>95</v>
      </c>
      <c r="H122" s="40" t="s">
        <v>96</v>
      </c>
      <c r="I122" s="14" t="s">
        <v>97</v>
      </c>
      <c r="J122" s="14" t="s">
        <v>98</v>
      </c>
      <c r="K122" s="14" t="s">
        <v>99</v>
      </c>
      <c r="L122" s="14" t="s">
        <v>142</v>
      </c>
      <c r="M122" s="40" t="s">
        <v>143</v>
      </c>
      <c r="N122" s="14" t="s">
        <v>149</v>
      </c>
      <c r="O122" s="14" t="s">
        <v>157</v>
      </c>
      <c r="P122" s="14" t="s">
        <v>159</v>
      </c>
      <c r="Q122" s="14" t="s">
        <v>172</v>
      </c>
      <c r="R122" s="40" t="s">
        <v>173</v>
      </c>
      <c r="S122" s="14" t="s">
        <v>188</v>
      </c>
      <c r="T122" s="14" t="s">
        <v>189</v>
      </c>
      <c r="U122" s="14" t="s">
        <v>204</v>
      </c>
      <c r="V122" s="12" t="s">
        <v>25</v>
      </c>
      <c r="W122" s="42" t="s">
        <v>26</v>
      </c>
      <c r="X122" s="12" t="s">
        <v>27</v>
      </c>
      <c r="Y122" s="12" t="s">
        <v>28</v>
      </c>
      <c r="Z122" s="12" t="s">
        <v>29</v>
      </c>
      <c r="AA122" s="12" t="s">
        <v>30</v>
      </c>
      <c r="AB122" s="42" t="s">
        <v>31</v>
      </c>
      <c r="AC122" s="12" t="s">
        <v>90</v>
      </c>
      <c r="AD122" s="12" t="s">
        <v>91</v>
      </c>
      <c r="AE122" s="12" t="s">
        <v>92</v>
      </c>
      <c r="AF122" s="12" t="s">
        <v>93</v>
      </c>
      <c r="AG122" s="42" t="s">
        <v>94</v>
      </c>
      <c r="AH122" s="12" t="s">
        <v>109</v>
      </c>
      <c r="AI122" s="12" t="s">
        <v>110</v>
      </c>
      <c r="AJ122" s="12" t="s">
        <v>111</v>
      </c>
      <c r="AK122" s="12" t="s">
        <v>112</v>
      </c>
      <c r="AL122" s="42" t="s">
        <v>113</v>
      </c>
      <c r="AM122" s="12" t="s">
        <v>164</v>
      </c>
      <c r="AN122" s="12" t="s">
        <v>165</v>
      </c>
      <c r="AO122" s="12" t="s">
        <v>166</v>
      </c>
      <c r="AP122" s="12" t="s">
        <v>167</v>
      </c>
      <c r="AQ122" s="42" t="s">
        <v>168</v>
      </c>
      <c r="AR122" s="12" t="s">
        <v>195</v>
      </c>
      <c r="AS122" s="12" t="s">
        <v>196</v>
      </c>
      <c r="AT122" s="12" t="s">
        <v>197</v>
      </c>
      <c r="AU122" s="12" t="s">
        <v>198</v>
      </c>
      <c r="AV122" s="42" t="s">
        <v>199</v>
      </c>
    </row>
    <row r="123" spans="2:48" s="8" customFormat="1" outlineLevel="1" x14ac:dyDescent="0.3">
      <c r="B123" s="435" t="s">
        <v>127</v>
      </c>
      <c r="C123" s="436"/>
      <c r="D123" s="48">
        <f>'IS (Bull-Case)'!D123-'IS (Base-Case)'!D123</f>
        <v>0</v>
      </c>
      <c r="E123" s="48">
        <f>'IS (Bull-Case)'!E123-'IS (Base-Case)'!E123</f>
        <v>0</v>
      </c>
      <c r="F123" s="48">
        <f>'IS (Bull-Case)'!F123-'IS (Base-Case)'!F123</f>
        <v>0</v>
      </c>
      <c r="G123" s="48">
        <f>'IS (Bull-Case)'!G123-'IS (Base-Case)'!G123</f>
        <v>0</v>
      </c>
      <c r="H123" s="31">
        <f>'IS (Bull-Case)'!H123-'IS (Base-Case)'!H123</f>
        <v>0</v>
      </c>
      <c r="I123" s="48">
        <f>'IS (Bull-Case)'!I123-'IS (Base-Case)'!I123</f>
        <v>0</v>
      </c>
      <c r="J123" s="48">
        <f>'IS (Bull-Case)'!J123-'IS (Base-Case)'!J123</f>
        <v>0</v>
      </c>
      <c r="K123" s="48">
        <f>'IS (Bull-Case)'!K123-'IS (Base-Case)'!K123</f>
        <v>0</v>
      </c>
      <c r="L123" s="48">
        <f>'IS (Bull-Case)'!L123-'IS (Base-Case)'!L123</f>
        <v>0</v>
      </c>
      <c r="M123" s="31">
        <f>'IS (Bull-Case)'!M123-'IS (Base-Case)'!M123</f>
        <v>0</v>
      </c>
      <c r="N123" s="48">
        <f>'IS (Bull-Case)'!N123-'IS (Base-Case)'!N123</f>
        <v>0</v>
      </c>
      <c r="O123" s="48">
        <f>'IS (Bull-Case)'!O123-'IS (Base-Case)'!O123</f>
        <v>0</v>
      </c>
      <c r="P123" s="48">
        <f>'IS (Bull-Case)'!P123-'IS (Base-Case)'!P123</f>
        <v>0</v>
      </c>
      <c r="Q123" s="105">
        <f>'IS (Bull-Case)'!Q123-'IS (Base-Case)'!Q123</f>
        <v>0</v>
      </c>
      <c r="R123" s="31">
        <f>'IS (Bull-Case)'!R123-'IS (Base-Case)'!R123</f>
        <v>0</v>
      </c>
      <c r="S123" s="48">
        <f>'IS (Bull-Case)'!S123-'IS (Base-Case)'!S123</f>
        <v>0</v>
      </c>
      <c r="T123" s="48">
        <f>'IS (Bull-Case)'!T123-'IS (Base-Case)'!T123</f>
        <v>0</v>
      </c>
      <c r="U123" s="48">
        <f>'IS (Bull-Case)'!U123-'IS (Base-Case)'!U123</f>
        <v>0</v>
      </c>
      <c r="V123" s="48">
        <f>'IS (Bull-Case)'!V123-'IS (Base-Case)'!V123</f>
        <v>0</v>
      </c>
      <c r="W123" s="31">
        <f>'IS (Bull-Case)'!W123-'IS (Base-Case)'!W123</f>
        <v>0</v>
      </c>
      <c r="X123" s="48">
        <f>'IS (Bull-Case)'!X123-'IS (Base-Case)'!X123</f>
        <v>0</v>
      </c>
      <c r="Y123" s="48">
        <f>'IS (Bull-Case)'!Y123-'IS (Base-Case)'!Y123</f>
        <v>0</v>
      </c>
      <c r="Z123" s="48">
        <f>'IS (Bull-Case)'!Z123-'IS (Base-Case)'!Z123</f>
        <v>0</v>
      </c>
      <c r="AA123" s="48">
        <f>'IS (Bull-Case)'!AA123-'IS (Base-Case)'!AA123</f>
        <v>0</v>
      </c>
      <c r="AB123" s="31">
        <f>'IS (Bull-Case)'!AB123-'IS (Base-Case)'!AB123</f>
        <v>0</v>
      </c>
      <c r="AC123" s="48">
        <f>'IS (Bull-Case)'!AC123-'IS (Base-Case)'!AC123</f>
        <v>0</v>
      </c>
      <c r="AD123" s="48">
        <f>'IS (Bull-Case)'!AD123-'IS (Base-Case)'!AD123</f>
        <v>0</v>
      </c>
      <c r="AE123" s="48">
        <f>'IS (Bull-Case)'!AE123-'IS (Base-Case)'!AE123</f>
        <v>0</v>
      </c>
      <c r="AF123" s="48">
        <f>'IS (Bull-Case)'!AF123-'IS (Base-Case)'!AF123</f>
        <v>0</v>
      </c>
      <c r="AG123" s="31">
        <f>'IS (Bull-Case)'!AG123-'IS (Base-Case)'!AG123</f>
        <v>0</v>
      </c>
      <c r="AH123" s="48">
        <f>'IS (Bull-Case)'!AH123-'IS (Base-Case)'!AH123</f>
        <v>0</v>
      </c>
      <c r="AI123" s="48">
        <f>'IS (Bull-Case)'!AI123-'IS (Base-Case)'!AI123</f>
        <v>0</v>
      </c>
      <c r="AJ123" s="48">
        <f>'IS (Bull-Case)'!AJ123-'IS (Base-Case)'!AJ123</f>
        <v>0</v>
      </c>
      <c r="AK123" s="48">
        <f>'IS (Bull-Case)'!AK123-'IS (Base-Case)'!AK123</f>
        <v>0</v>
      </c>
      <c r="AL123" s="31">
        <f>'IS (Bull-Case)'!AL123-'IS (Base-Case)'!AL123</f>
        <v>0</v>
      </c>
      <c r="AM123" s="48">
        <f>'IS (Bull-Case)'!AM123-'IS (Base-Case)'!AM123</f>
        <v>0</v>
      </c>
      <c r="AN123" s="48">
        <f>'IS (Bull-Case)'!AN123-'IS (Base-Case)'!AN123</f>
        <v>0</v>
      </c>
      <c r="AO123" s="48">
        <f>'IS (Bull-Case)'!AO123-'IS (Base-Case)'!AO123</f>
        <v>0</v>
      </c>
      <c r="AP123" s="48">
        <f>'IS (Bull-Case)'!AP123-'IS (Base-Case)'!AP123</f>
        <v>0</v>
      </c>
      <c r="AQ123" s="31">
        <f>'IS (Bull-Case)'!AQ123-'IS (Base-Case)'!AQ123</f>
        <v>0</v>
      </c>
      <c r="AR123" s="48">
        <f>'IS (Bull-Case)'!AR123-'IS (Base-Case)'!AR123</f>
        <v>0</v>
      </c>
      <c r="AS123" s="48">
        <f>'IS (Bull-Case)'!AS123-'IS (Base-Case)'!AS123</f>
        <v>0</v>
      </c>
      <c r="AT123" s="48">
        <f>'IS (Bull-Case)'!AT123-'IS (Base-Case)'!AT123</f>
        <v>0</v>
      </c>
      <c r="AU123" s="48">
        <f>'IS (Bull-Case)'!AU123-'IS (Base-Case)'!AU123</f>
        <v>0</v>
      </c>
      <c r="AV123" s="31">
        <f>'IS (Bull-Case)'!AV123-'IS (Base-Case)'!AV123</f>
        <v>0</v>
      </c>
    </row>
    <row r="124" spans="2:48" s="8" customFormat="1" outlineLevel="1" x14ac:dyDescent="0.3">
      <c r="B124" s="38" t="s">
        <v>128</v>
      </c>
      <c r="C124" s="201"/>
      <c r="D124" s="30">
        <f>'IS (Bull-Case)'!D124-'IS (Base-Case)'!D124</f>
        <v>0</v>
      </c>
      <c r="E124" s="30">
        <f>'IS (Bull-Case)'!E124-'IS (Base-Case)'!E124</f>
        <v>0</v>
      </c>
      <c r="F124" s="30">
        <f>'IS (Bull-Case)'!F124-'IS (Base-Case)'!F124</f>
        <v>0</v>
      </c>
      <c r="G124" s="118">
        <f>'IS (Bull-Case)'!G124-'IS (Base-Case)'!G124</f>
        <v>0</v>
      </c>
      <c r="H124" s="130">
        <f>'IS (Bull-Case)'!H124-'IS (Base-Case)'!H124</f>
        <v>0</v>
      </c>
      <c r="I124" s="118">
        <f>'IS (Bull-Case)'!I124-'IS (Base-Case)'!I124</f>
        <v>0</v>
      </c>
      <c r="J124" s="118">
        <f>'IS (Bull-Case)'!J124-'IS (Base-Case)'!J124</f>
        <v>0</v>
      </c>
      <c r="K124" s="118">
        <f>'IS (Bull-Case)'!K124-'IS (Base-Case)'!K124</f>
        <v>0</v>
      </c>
      <c r="L124" s="118">
        <f>'IS (Bull-Case)'!L124-'IS (Base-Case)'!L124</f>
        <v>0</v>
      </c>
      <c r="M124" s="128">
        <f>'IS (Bull-Case)'!M124-'IS (Base-Case)'!M124</f>
        <v>0</v>
      </c>
      <c r="N124" s="118">
        <f>'IS (Bull-Case)'!N124-'IS (Base-Case)'!N124</f>
        <v>0</v>
      </c>
      <c r="O124" s="118">
        <f>'IS (Bull-Case)'!O124-'IS (Base-Case)'!O124</f>
        <v>0</v>
      </c>
      <c r="P124" s="118">
        <f>'IS (Bull-Case)'!P124-'IS (Base-Case)'!P124</f>
        <v>0</v>
      </c>
      <c r="Q124" s="118">
        <f>'IS (Bull-Case)'!Q124-'IS (Base-Case)'!Q124</f>
        <v>0</v>
      </c>
      <c r="R124" s="128">
        <f>'IS (Bull-Case)'!R124-'IS (Base-Case)'!R124</f>
        <v>0</v>
      </c>
      <c r="S124" s="118">
        <f>'IS (Bull-Case)'!S124-'IS (Base-Case)'!S124</f>
        <v>0</v>
      </c>
      <c r="T124" s="118">
        <f>'IS (Bull-Case)'!T124-'IS (Base-Case)'!T124</f>
        <v>0</v>
      </c>
      <c r="U124" s="118">
        <f>'IS (Bull-Case)'!U124-'IS (Base-Case)'!U124</f>
        <v>0</v>
      </c>
      <c r="V124" s="34">
        <f>'IS (Bull-Case)'!V124-'IS (Base-Case)'!V124</f>
        <v>0</v>
      </c>
      <c r="W124" s="128">
        <f>'IS (Bull-Case)'!W124-'IS (Base-Case)'!W124</f>
        <v>0</v>
      </c>
      <c r="X124" s="34">
        <f>'IS (Bull-Case)'!X124-'IS (Base-Case)'!X124</f>
        <v>0</v>
      </c>
      <c r="Y124" s="34">
        <f>'IS (Bull-Case)'!Y124-'IS (Base-Case)'!Y124</f>
        <v>0</v>
      </c>
      <c r="Z124" s="34">
        <f>'IS (Bull-Case)'!Z124-'IS (Base-Case)'!Z124</f>
        <v>0</v>
      </c>
      <c r="AA124" s="34">
        <f>'IS (Bull-Case)'!AA124-'IS (Base-Case)'!AA124</f>
        <v>0</v>
      </c>
      <c r="AB124" s="128">
        <f>'IS (Bull-Case)'!AB124-'IS (Base-Case)'!AB124</f>
        <v>0</v>
      </c>
      <c r="AC124" s="34">
        <f>'IS (Bull-Case)'!AC124-'IS (Base-Case)'!AC124</f>
        <v>0</v>
      </c>
      <c r="AD124" s="34">
        <f>'IS (Bull-Case)'!AD124-'IS (Base-Case)'!AD124</f>
        <v>0</v>
      </c>
      <c r="AE124" s="34">
        <f>'IS (Bull-Case)'!AE124-'IS (Base-Case)'!AE124</f>
        <v>0</v>
      </c>
      <c r="AF124" s="34">
        <f>'IS (Bull-Case)'!AF124-'IS (Base-Case)'!AF124</f>
        <v>0</v>
      </c>
      <c r="AG124" s="128">
        <f>'IS (Bull-Case)'!AG124-'IS (Base-Case)'!AG124</f>
        <v>0</v>
      </c>
      <c r="AH124" s="34">
        <f>'IS (Bull-Case)'!AH124-'IS (Base-Case)'!AH124</f>
        <v>0</v>
      </c>
      <c r="AI124" s="34">
        <f>'IS (Bull-Case)'!AI124-'IS (Base-Case)'!AI124</f>
        <v>0</v>
      </c>
      <c r="AJ124" s="34">
        <f>'IS (Bull-Case)'!AJ124-'IS (Base-Case)'!AJ124</f>
        <v>0</v>
      </c>
      <c r="AK124" s="34">
        <f>'IS (Bull-Case)'!AK124-'IS (Base-Case)'!AK124</f>
        <v>0</v>
      </c>
      <c r="AL124" s="128">
        <f>'IS (Bull-Case)'!AL124-'IS (Base-Case)'!AL124</f>
        <v>0</v>
      </c>
      <c r="AM124" s="34">
        <f>'IS (Bull-Case)'!AM124-'IS (Base-Case)'!AM124</f>
        <v>0</v>
      </c>
      <c r="AN124" s="34">
        <f>'IS (Bull-Case)'!AN124-'IS (Base-Case)'!AN124</f>
        <v>0</v>
      </c>
      <c r="AO124" s="34">
        <f>'IS (Bull-Case)'!AO124-'IS (Base-Case)'!AO124</f>
        <v>0</v>
      </c>
      <c r="AP124" s="34">
        <f>'IS (Bull-Case)'!AP124-'IS (Base-Case)'!AP124</f>
        <v>0</v>
      </c>
      <c r="AQ124" s="128">
        <f>'IS (Bull-Case)'!AQ124-'IS (Base-Case)'!AQ124</f>
        <v>0</v>
      </c>
      <c r="AR124" s="34">
        <f>'IS (Bull-Case)'!AR124-'IS (Base-Case)'!AR124</f>
        <v>0</v>
      </c>
      <c r="AS124" s="34">
        <f>'IS (Bull-Case)'!AS124-'IS (Base-Case)'!AS124</f>
        <v>0</v>
      </c>
      <c r="AT124" s="34">
        <f>'IS (Bull-Case)'!AT124-'IS (Base-Case)'!AT124</f>
        <v>0</v>
      </c>
      <c r="AU124" s="34">
        <f>'IS (Bull-Case)'!AU124-'IS (Base-Case)'!AU124</f>
        <v>0</v>
      </c>
      <c r="AV124" s="128">
        <f>'IS (Bull-Case)'!AV124-'IS (Base-Case)'!AV124</f>
        <v>0</v>
      </c>
    </row>
    <row r="125" spans="2:48" outlineLevel="1" x14ac:dyDescent="0.3">
      <c r="B125" s="443" t="s">
        <v>100</v>
      </c>
      <c r="C125" s="444"/>
      <c r="D125" s="48">
        <f>'IS (Bull-Case)'!D125-'IS (Base-Case)'!D125</f>
        <v>0</v>
      </c>
      <c r="E125" s="48">
        <f>'IS (Bull-Case)'!E125-'IS (Base-Case)'!E125</f>
        <v>0</v>
      </c>
      <c r="F125" s="48">
        <f>'IS (Bull-Case)'!F125-'IS (Base-Case)'!F125</f>
        <v>0</v>
      </c>
      <c r="G125" s="105">
        <f>'IS (Bull-Case)'!G125-'IS (Base-Case)'!G125</f>
        <v>0</v>
      </c>
      <c r="H125" s="170">
        <f>'IS (Bull-Case)'!H125-'IS (Base-Case)'!H125</f>
        <v>0</v>
      </c>
      <c r="I125" s="105">
        <f>'IS (Bull-Case)'!I125-'IS (Base-Case)'!I125</f>
        <v>0</v>
      </c>
      <c r="J125" s="105">
        <f>'IS (Bull-Case)'!J125-'IS (Base-Case)'!J125</f>
        <v>0</v>
      </c>
      <c r="K125" s="105">
        <f>'IS (Bull-Case)'!K125-'IS (Base-Case)'!K125</f>
        <v>0</v>
      </c>
      <c r="L125" s="105">
        <f>'IS (Bull-Case)'!L125-'IS (Base-Case)'!L125</f>
        <v>0</v>
      </c>
      <c r="M125" s="31">
        <f>'IS (Bull-Case)'!M125-'IS (Base-Case)'!M125</f>
        <v>0</v>
      </c>
      <c r="N125" s="105">
        <f>'IS (Bull-Case)'!N125-'IS (Base-Case)'!N125</f>
        <v>0</v>
      </c>
      <c r="O125" s="105">
        <f>'IS (Bull-Case)'!O125-'IS (Base-Case)'!O125</f>
        <v>0</v>
      </c>
      <c r="P125" s="105">
        <f>'IS (Bull-Case)'!P125-'IS (Base-Case)'!P125</f>
        <v>0</v>
      </c>
      <c r="Q125" s="105">
        <f>'IS (Bull-Case)'!Q125-'IS (Base-Case)'!Q125</f>
        <v>0</v>
      </c>
      <c r="R125" s="31">
        <f>'IS (Bull-Case)'!R125-'IS (Base-Case)'!R125</f>
        <v>0</v>
      </c>
      <c r="S125" s="105">
        <f>'IS (Bull-Case)'!S125-'IS (Base-Case)'!S125</f>
        <v>0</v>
      </c>
      <c r="T125" s="105">
        <f>'IS (Bull-Case)'!T125-'IS (Base-Case)'!T125</f>
        <v>0</v>
      </c>
      <c r="U125" s="105">
        <f>'IS (Bull-Case)'!U125-'IS (Base-Case)'!U125</f>
        <v>0</v>
      </c>
      <c r="V125" s="95">
        <f>'IS (Bull-Case)'!V125-'IS (Base-Case)'!V125</f>
        <v>0</v>
      </c>
      <c r="W125" s="31">
        <f>'IS (Bull-Case)'!W125-'IS (Base-Case)'!W125</f>
        <v>0</v>
      </c>
      <c r="X125" s="95">
        <f>'IS (Bull-Case)'!X125-'IS (Base-Case)'!X125</f>
        <v>0</v>
      </c>
      <c r="Y125" s="95">
        <f>'IS (Bull-Case)'!Y125-'IS (Base-Case)'!Y125</f>
        <v>0</v>
      </c>
      <c r="Z125" s="95">
        <f>'IS (Bull-Case)'!Z125-'IS (Base-Case)'!Z125</f>
        <v>0</v>
      </c>
      <c r="AA125" s="95">
        <f>'IS (Bull-Case)'!AA125-'IS (Base-Case)'!AA125</f>
        <v>0</v>
      </c>
      <c r="AB125" s="31">
        <f>'IS (Bull-Case)'!AB125-'IS (Base-Case)'!AB125</f>
        <v>0</v>
      </c>
      <c r="AC125" s="95">
        <f>'IS (Bull-Case)'!AC125-'IS (Base-Case)'!AC125</f>
        <v>0</v>
      </c>
      <c r="AD125" s="95">
        <f>'IS (Bull-Case)'!AD125-'IS (Base-Case)'!AD125</f>
        <v>0</v>
      </c>
      <c r="AE125" s="95">
        <f>'IS (Bull-Case)'!AE125-'IS (Base-Case)'!AE125</f>
        <v>0</v>
      </c>
      <c r="AF125" s="95">
        <f>'IS (Bull-Case)'!AF125-'IS (Base-Case)'!AF125</f>
        <v>0</v>
      </c>
      <c r="AG125" s="31">
        <f>'IS (Bull-Case)'!AG125-'IS (Base-Case)'!AG125</f>
        <v>0</v>
      </c>
      <c r="AH125" s="95">
        <f>'IS (Bull-Case)'!AH125-'IS (Base-Case)'!AH125</f>
        <v>0</v>
      </c>
      <c r="AI125" s="95">
        <f>'IS (Bull-Case)'!AI125-'IS (Base-Case)'!AI125</f>
        <v>0</v>
      </c>
      <c r="AJ125" s="95">
        <f>'IS (Bull-Case)'!AJ125-'IS (Base-Case)'!AJ125</f>
        <v>0</v>
      </c>
      <c r="AK125" s="95">
        <f>'IS (Bull-Case)'!AK125-'IS (Base-Case)'!AK125</f>
        <v>0</v>
      </c>
      <c r="AL125" s="31">
        <f>'IS (Bull-Case)'!AL125-'IS (Base-Case)'!AL125</f>
        <v>0</v>
      </c>
      <c r="AM125" s="95">
        <f>'IS (Bull-Case)'!AM125-'IS (Base-Case)'!AM125</f>
        <v>0</v>
      </c>
      <c r="AN125" s="95">
        <f>'IS (Bull-Case)'!AN125-'IS (Base-Case)'!AN125</f>
        <v>0</v>
      </c>
      <c r="AO125" s="95">
        <f>'IS (Bull-Case)'!AO125-'IS (Base-Case)'!AO125</f>
        <v>0</v>
      </c>
      <c r="AP125" s="95">
        <f>'IS (Bull-Case)'!AP125-'IS (Base-Case)'!AP125</f>
        <v>0</v>
      </c>
      <c r="AQ125" s="31">
        <f>'IS (Bull-Case)'!AQ125-'IS (Base-Case)'!AQ125</f>
        <v>0</v>
      </c>
      <c r="AR125" s="95">
        <f>'IS (Bull-Case)'!AR125-'IS (Base-Case)'!AR125</f>
        <v>0</v>
      </c>
      <c r="AS125" s="95">
        <f>'IS (Bull-Case)'!AS125-'IS (Base-Case)'!AS125</f>
        <v>0</v>
      </c>
      <c r="AT125" s="95">
        <f>'IS (Bull-Case)'!AT125-'IS (Base-Case)'!AT125</f>
        <v>0</v>
      </c>
      <c r="AU125" s="95">
        <f>'IS (Bull-Case)'!AU125-'IS (Base-Case)'!AU125</f>
        <v>0</v>
      </c>
      <c r="AV125" s="31">
        <f>'IS (Bull-Case)'!AV125-'IS (Base-Case)'!AV125</f>
        <v>0</v>
      </c>
    </row>
    <row r="126" spans="2:48" outlineLevel="1" x14ac:dyDescent="0.3">
      <c r="B126" s="180" t="s">
        <v>33</v>
      </c>
      <c r="C126" s="18"/>
      <c r="D126" s="48">
        <f>'IS (Bull-Case)'!D126-'IS (Base-Case)'!D126</f>
        <v>0</v>
      </c>
      <c r="E126" s="48">
        <f>'IS (Bull-Case)'!E126-'IS (Base-Case)'!E126</f>
        <v>0</v>
      </c>
      <c r="F126" s="48">
        <f>'IS (Bull-Case)'!F126-'IS (Base-Case)'!F126</f>
        <v>0</v>
      </c>
      <c r="G126" s="105">
        <f>'IS (Bull-Case)'!G126-'IS (Base-Case)'!G126</f>
        <v>0</v>
      </c>
      <c r="H126" s="170">
        <f>'IS (Bull-Case)'!H126-'IS (Base-Case)'!H126</f>
        <v>0</v>
      </c>
      <c r="I126" s="105">
        <f>'IS (Bull-Case)'!I126-'IS (Base-Case)'!I126</f>
        <v>0</v>
      </c>
      <c r="J126" s="105">
        <f>'IS (Bull-Case)'!J126-'IS (Base-Case)'!J126</f>
        <v>0</v>
      </c>
      <c r="K126" s="105">
        <f>'IS (Bull-Case)'!K126-'IS (Base-Case)'!K126</f>
        <v>0</v>
      </c>
      <c r="L126" s="105">
        <f>'IS (Bull-Case)'!L126-'IS (Base-Case)'!L126</f>
        <v>0</v>
      </c>
      <c r="M126" s="31">
        <f>'IS (Bull-Case)'!M126-'IS (Base-Case)'!M126</f>
        <v>0</v>
      </c>
      <c r="N126" s="105">
        <f>'IS (Bull-Case)'!N126-'IS (Base-Case)'!N126</f>
        <v>0</v>
      </c>
      <c r="O126" s="105">
        <f>'IS (Bull-Case)'!O126-'IS (Base-Case)'!O126</f>
        <v>0</v>
      </c>
      <c r="P126" s="105">
        <f>'IS (Bull-Case)'!P126-'IS (Base-Case)'!P126</f>
        <v>0</v>
      </c>
      <c r="Q126" s="105">
        <f>'IS (Bull-Case)'!Q126-'IS (Base-Case)'!Q126</f>
        <v>0</v>
      </c>
      <c r="R126" s="31">
        <f>'IS (Bull-Case)'!R126-'IS (Base-Case)'!R126</f>
        <v>0</v>
      </c>
      <c r="S126" s="105">
        <f>'IS (Bull-Case)'!S126-'IS (Base-Case)'!S126</f>
        <v>0</v>
      </c>
      <c r="T126" s="105">
        <f>'IS (Bull-Case)'!T126-'IS (Base-Case)'!T126</f>
        <v>0</v>
      </c>
      <c r="U126" s="105">
        <f>'IS (Bull-Case)'!U126-'IS (Base-Case)'!U126</f>
        <v>0</v>
      </c>
      <c r="V126" s="95">
        <f>'IS (Bull-Case)'!V126-'IS (Base-Case)'!V126</f>
        <v>0</v>
      </c>
      <c r="W126" s="31">
        <f>'IS (Bull-Case)'!W126-'IS (Base-Case)'!W126</f>
        <v>0</v>
      </c>
      <c r="X126" s="95">
        <f>'IS (Bull-Case)'!X126-'IS (Base-Case)'!X126</f>
        <v>0</v>
      </c>
      <c r="Y126" s="95">
        <f>'IS (Bull-Case)'!Y126-'IS (Base-Case)'!Y126</f>
        <v>0</v>
      </c>
      <c r="Z126" s="95">
        <f>'IS (Bull-Case)'!Z126-'IS (Base-Case)'!Z126</f>
        <v>0</v>
      </c>
      <c r="AA126" s="95">
        <f>'IS (Bull-Case)'!AA126-'IS (Base-Case)'!AA126</f>
        <v>0</v>
      </c>
      <c r="AB126" s="31">
        <f>'IS (Bull-Case)'!AB126-'IS (Base-Case)'!AB126</f>
        <v>0</v>
      </c>
      <c r="AC126" s="95">
        <f>'IS (Bull-Case)'!AC126-'IS (Base-Case)'!AC126</f>
        <v>0</v>
      </c>
      <c r="AD126" s="95">
        <f>'IS (Bull-Case)'!AD126-'IS (Base-Case)'!AD126</f>
        <v>0</v>
      </c>
      <c r="AE126" s="95">
        <f>'IS (Bull-Case)'!AE126-'IS (Base-Case)'!AE126</f>
        <v>0</v>
      </c>
      <c r="AF126" s="95">
        <f>'IS (Bull-Case)'!AF126-'IS (Base-Case)'!AF126</f>
        <v>0</v>
      </c>
      <c r="AG126" s="31">
        <f>'IS (Bull-Case)'!AG126-'IS (Base-Case)'!AG126</f>
        <v>0</v>
      </c>
      <c r="AH126" s="95">
        <f>'IS (Bull-Case)'!AH126-'IS (Base-Case)'!AH126</f>
        <v>0</v>
      </c>
      <c r="AI126" s="95">
        <f>'IS (Bull-Case)'!AI126-'IS (Base-Case)'!AI126</f>
        <v>0</v>
      </c>
      <c r="AJ126" s="95">
        <f>'IS (Bull-Case)'!AJ126-'IS (Base-Case)'!AJ126</f>
        <v>0</v>
      </c>
      <c r="AK126" s="95">
        <f>'IS (Bull-Case)'!AK126-'IS (Base-Case)'!AK126</f>
        <v>0</v>
      </c>
      <c r="AL126" s="31">
        <f>'IS (Bull-Case)'!AL126-'IS (Base-Case)'!AL126</f>
        <v>0</v>
      </c>
      <c r="AM126" s="95">
        <f>'IS (Bull-Case)'!AM126-'IS (Base-Case)'!AM126</f>
        <v>0</v>
      </c>
      <c r="AN126" s="95">
        <f>'IS (Bull-Case)'!AN126-'IS (Base-Case)'!AN126</f>
        <v>0</v>
      </c>
      <c r="AO126" s="95">
        <f>'IS (Bull-Case)'!AO126-'IS (Base-Case)'!AO126</f>
        <v>0</v>
      </c>
      <c r="AP126" s="95">
        <f>'IS (Bull-Case)'!AP126-'IS (Base-Case)'!AP126</f>
        <v>0</v>
      </c>
      <c r="AQ126" s="31">
        <f>'IS (Bull-Case)'!AQ126-'IS (Base-Case)'!AQ126</f>
        <v>0</v>
      </c>
      <c r="AR126" s="95">
        <f>'IS (Bull-Case)'!AR126-'IS (Base-Case)'!AR126</f>
        <v>0</v>
      </c>
      <c r="AS126" s="95">
        <f>'IS (Bull-Case)'!AS126-'IS (Base-Case)'!AS126</f>
        <v>0</v>
      </c>
      <c r="AT126" s="95">
        <f>'IS (Bull-Case)'!AT126-'IS (Base-Case)'!AT126</f>
        <v>0</v>
      </c>
      <c r="AU126" s="95">
        <f>'IS (Bull-Case)'!AU126-'IS (Base-Case)'!AU126</f>
        <v>0</v>
      </c>
      <c r="AV126" s="31">
        <f>'IS (Bull-Case)'!AV126-'IS (Base-Case)'!AV126</f>
        <v>0</v>
      </c>
    </row>
    <row r="127" spans="2:48" outlineLevel="1" x14ac:dyDescent="0.3">
      <c r="B127" s="180" t="s">
        <v>34</v>
      </c>
      <c r="C127" s="18"/>
      <c r="D127" s="358">
        <f>'IS (Bull-Case)'!D127-'IS (Base-Case)'!D127</f>
        <v>0</v>
      </c>
      <c r="E127" s="358">
        <f>'IS (Bull-Case)'!E127-'IS (Base-Case)'!E127</f>
        <v>0</v>
      </c>
      <c r="F127" s="358">
        <f>'IS (Bull-Case)'!F127-'IS (Base-Case)'!F127</f>
        <v>0</v>
      </c>
      <c r="G127" s="358">
        <f>'IS (Bull-Case)'!G127-'IS (Base-Case)'!G127</f>
        <v>0</v>
      </c>
      <c r="H127" s="130">
        <f>'IS (Bull-Case)'!H127-'IS (Base-Case)'!H127</f>
        <v>0</v>
      </c>
      <c r="I127" s="358">
        <f>'IS (Bull-Case)'!I127-'IS (Base-Case)'!I127</f>
        <v>0</v>
      </c>
      <c r="J127" s="358">
        <f>'IS (Bull-Case)'!J127-'IS (Base-Case)'!J127</f>
        <v>0</v>
      </c>
      <c r="K127" s="358">
        <f>'IS (Bull-Case)'!K127-'IS (Base-Case)'!K127</f>
        <v>0</v>
      </c>
      <c r="L127" s="358">
        <f>'IS (Bull-Case)'!L127-'IS (Base-Case)'!L127</f>
        <v>0</v>
      </c>
      <c r="M127" s="126">
        <f>'IS (Bull-Case)'!M127-'IS (Base-Case)'!M127</f>
        <v>0</v>
      </c>
      <c r="N127" s="358">
        <f>'IS (Bull-Case)'!N127-'IS (Base-Case)'!N127</f>
        <v>0</v>
      </c>
      <c r="O127" s="358">
        <f>'IS (Bull-Case)'!O127-'IS (Base-Case)'!O127</f>
        <v>0</v>
      </c>
      <c r="P127" s="358">
        <f>'IS (Bull-Case)'!P127-'IS (Base-Case)'!P127</f>
        <v>0</v>
      </c>
      <c r="Q127" s="358">
        <f>'IS (Bull-Case)'!Q127-'IS (Base-Case)'!Q127</f>
        <v>0</v>
      </c>
      <c r="R127" s="126">
        <f>'IS (Bull-Case)'!R127-'IS (Base-Case)'!R127</f>
        <v>0</v>
      </c>
      <c r="S127" s="358">
        <f>'IS (Bull-Case)'!S127-'IS (Base-Case)'!S127</f>
        <v>0</v>
      </c>
      <c r="T127" s="358">
        <f>'IS (Bull-Case)'!T127-'IS (Base-Case)'!T127</f>
        <v>0</v>
      </c>
      <c r="U127" s="358">
        <f>'IS (Bull-Case)'!U127-'IS (Base-Case)'!U127</f>
        <v>0</v>
      </c>
      <c r="V127" s="358">
        <f>'IS (Bull-Case)'!V127-'IS (Base-Case)'!V127</f>
        <v>0</v>
      </c>
      <c r="W127" s="126">
        <f>'IS (Bull-Case)'!W127-'IS (Base-Case)'!W127</f>
        <v>0</v>
      </c>
      <c r="X127" s="358">
        <f>'IS (Bull-Case)'!X127-'IS (Base-Case)'!X127</f>
        <v>0</v>
      </c>
      <c r="Y127" s="358">
        <f>'IS (Bull-Case)'!Y127-'IS (Base-Case)'!Y127</f>
        <v>5.4143299134778999E-4</v>
      </c>
      <c r="Z127" s="358">
        <f>'IS (Bull-Case)'!Z127-'IS (Base-Case)'!Z127</f>
        <v>4.8243315151808019E-4</v>
      </c>
      <c r="AA127" s="358">
        <f>'IS (Bull-Case)'!AA127-'IS (Base-Case)'!AA127</f>
        <v>9.6475641385751487E-4</v>
      </c>
      <c r="AB127" s="126">
        <f>'IS (Bull-Case)'!AB127-'IS (Base-Case)'!AB127</f>
        <v>1.9886225567233851E-3</v>
      </c>
      <c r="AC127" s="358">
        <f>'IS (Bull-Case)'!AC127-'IS (Base-Case)'!AC127</f>
        <v>-1.2076299675101154E-4</v>
      </c>
      <c r="AD127" s="358">
        <f>'IS (Bull-Case)'!AD127-'IS (Base-Case)'!AD127</f>
        <v>1.1874988521043406E-4</v>
      </c>
      <c r="AE127" s="358">
        <f>'IS (Bull-Case)'!AE127-'IS (Base-Case)'!AE127</f>
        <v>8.1545115550341052E-4</v>
      </c>
      <c r="AF127" s="358">
        <f>'IS (Bull-Case)'!AF127-'IS (Base-Case)'!AF127</f>
        <v>1.8681017096753294E-3</v>
      </c>
      <c r="AG127" s="126">
        <f>'IS (Bull-Case)'!AG127-'IS (Base-Case)'!AG127</f>
        <v>2.6815397536381624E-3</v>
      </c>
      <c r="AH127" s="358">
        <f>'IS (Bull-Case)'!AH127-'IS (Base-Case)'!AH127</f>
        <v>-2.8360206353283957E-4</v>
      </c>
      <c r="AI127" s="358">
        <f>'IS (Bull-Case)'!AI127-'IS (Base-Case)'!AI127</f>
        <v>1.1802921601855587E-4</v>
      </c>
      <c r="AJ127" s="358">
        <f>'IS (Bull-Case)'!AJ127-'IS (Base-Case)'!AJ127</f>
        <v>1.3707536986586888E-3</v>
      </c>
      <c r="AK127" s="358">
        <f>'IS (Bull-Case)'!AK127-'IS (Base-Case)'!AK127</f>
        <v>2.8392665877206014E-3</v>
      </c>
      <c r="AL127" s="126">
        <f>'IS (Bull-Case)'!AL127-'IS (Base-Case)'!AL127</f>
        <v>4.0444474388436902E-3</v>
      </c>
      <c r="AM127" s="358">
        <f>'IS (Bull-Case)'!AM127-'IS (Base-Case)'!AM127</f>
        <v>-5.2920093521180434E-4</v>
      </c>
      <c r="AN127" s="358">
        <f>'IS (Bull-Case)'!AN127-'IS (Base-Case)'!AN127</f>
        <v>-1.4888560675885287E-3</v>
      </c>
      <c r="AO127" s="358">
        <f>'IS (Bull-Case)'!AO127-'IS (Base-Case)'!AO127</f>
        <v>-8.7949297928702208E-4</v>
      </c>
      <c r="AP127" s="358">
        <f>'IS (Bull-Case)'!AP127-'IS (Base-Case)'!AP127</f>
        <v>2.9773486289741413E-4</v>
      </c>
      <c r="AQ127" s="126">
        <f>'IS (Bull-Case)'!AQ127-'IS (Base-Case)'!AQ127</f>
        <v>-2.5998151191970464E-3</v>
      </c>
      <c r="AR127" s="358">
        <f>'IS (Bull-Case)'!AR127-'IS (Base-Case)'!AR127</f>
        <v>-3.4481512803665737E-3</v>
      </c>
      <c r="AS127" s="358">
        <f>'IS (Bull-Case)'!AS127-'IS (Base-Case)'!AS127</f>
        <v>-4.4335869073464096E-3</v>
      </c>
      <c r="AT127" s="358">
        <f>'IS (Bull-Case)'!AT127-'IS (Base-Case)'!AT127</f>
        <v>-3.7021192146866611E-3</v>
      </c>
      <c r="AU127" s="358">
        <f>'IS (Bull-Case)'!AU127-'IS (Base-Case)'!AU127</f>
        <v>-2.3754688921897582E-3</v>
      </c>
      <c r="AV127" s="126">
        <f>'IS (Bull-Case)'!AV127-'IS (Base-Case)'!AV127</f>
        <v>-1.3959326294610719E-2</v>
      </c>
    </row>
    <row r="128" spans="2:48" outlineLevel="1" x14ac:dyDescent="0.3">
      <c r="B128" s="180" t="s">
        <v>35</v>
      </c>
      <c r="C128" s="18"/>
      <c r="D128" s="48">
        <f>'IS (Bull-Case)'!D128-'IS (Base-Case)'!D128</f>
        <v>0</v>
      </c>
      <c r="E128" s="48">
        <f>'IS (Bull-Case)'!E128-'IS (Base-Case)'!E128</f>
        <v>0</v>
      </c>
      <c r="F128" s="48">
        <f>'IS (Bull-Case)'!F128-'IS (Base-Case)'!F128</f>
        <v>0</v>
      </c>
      <c r="G128" s="105">
        <f>'IS (Bull-Case)'!G128-'IS (Base-Case)'!G128</f>
        <v>0</v>
      </c>
      <c r="H128" s="170">
        <f>'IS (Bull-Case)'!H128-'IS (Base-Case)'!H128</f>
        <v>0</v>
      </c>
      <c r="I128" s="105">
        <f>'IS (Bull-Case)'!I128-'IS (Base-Case)'!I128</f>
        <v>0</v>
      </c>
      <c r="J128" s="105">
        <f>'IS (Bull-Case)'!J128-'IS (Base-Case)'!J128</f>
        <v>0</v>
      </c>
      <c r="K128" s="105">
        <f>'IS (Bull-Case)'!K128-'IS (Base-Case)'!K128</f>
        <v>0</v>
      </c>
      <c r="L128" s="105">
        <f>'IS (Bull-Case)'!L128-'IS (Base-Case)'!L128</f>
        <v>0</v>
      </c>
      <c r="M128" s="31">
        <f>'IS (Bull-Case)'!M128-'IS (Base-Case)'!M128</f>
        <v>0</v>
      </c>
      <c r="N128" s="105">
        <f>'IS (Bull-Case)'!N128-'IS (Base-Case)'!N128</f>
        <v>0</v>
      </c>
      <c r="O128" s="105">
        <f>'IS (Bull-Case)'!O128-'IS (Base-Case)'!O128</f>
        <v>0</v>
      </c>
      <c r="P128" s="105">
        <f>'IS (Bull-Case)'!P128-'IS (Base-Case)'!P128</f>
        <v>0</v>
      </c>
      <c r="Q128" s="105">
        <f>'IS (Bull-Case)'!Q128-'IS (Base-Case)'!Q128</f>
        <v>0</v>
      </c>
      <c r="R128" s="31">
        <f>'IS (Bull-Case)'!R128-'IS (Base-Case)'!R128</f>
        <v>0</v>
      </c>
      <c r="S128" s="105">
        <f>'IS (Bull-Case)'!S128-'IS (Base-Case)'!S128</f>
        <v>0</v>
      </c>
      <c r="T128" s="105">
        <f>'IS (Bull-Case)'!T128-'IS (Base-Case)'!T128</f>
        <v>0</v>
      </c>
      <c r="U128" s="105">
        <f>'IS (Bull-Case)'!U128-'IS (Base-Case)'!U128</f>
        <v>0</v>
      </c>
      <c r="V128" s="95">
        <f>'IS (Bull-Case)'!V128-'IS (Base-Case)'!V128</f>
        <v>0</v>
      </c>
      <c r="W128" s="31">
        <f>'IS (Bull-Case)'!W128-'IS (Base-Case)'!W128</f>
        <v>0</v>
      </c>
      <c r="X128" s="95">
        <f>'IS (Bull-Case)'!X128-'IS (Base-Case)'!X128</f>
        <v>0</v>
      </c>
      <c r="Y128" s="95">
        <f>'IS (Bull-Case)'!Y128-'IS (Base-Case)'!Y128</f>
        <v>0</v>
      </c>
      <c r="Z128" s="95">
        <f>'IS (Bull-Case)'!Z128-'IS (Base-Case)'!Z128</f>
        <v>0</v>
      </c>
      <c r="AA128" s="95">
        <f>'IS (Bull-Case)'!AA128-'IS (Base-Case)'!AA128</f>
        <v>0</v>
      </c>
      <c r="AB128" s="31">
        <f>'IS (Bull-Case)'!AB128-'IS (Base-Case)'!AB128</f>
        <v>0</v>
      </c>
      <c r="AC128" s="95">
        <f>'IS (Bull-Case)'!AC128-'IS (Base-Case)'!AC128</f>
        <v>0</v>
      </c>
      <c r="AD128" s="95">
        <f>'IS (Bull-Case)'!AD128-'IS (Base-Case)'!AD128</f>
        <v>0</v>
      </c>
      <c r="AE128" s="95">
        <f>'IS (Bull-Case)'!AE128-'IS (Base-Case)'!AE128</f>
        <v>0</v>
      </c>
      <c r="AF128" s="95">
        <f>'IS (Bull-Case)'!AF128-'IS (Base-Case)'!AF128</f>
        <v>0</v>
      </c>
      <c r="AG128" s="31">
        <f>'IS (Bull-Case)'!AG128-'IS (Base-Case)'!AG128</f>
        <v>0</v>
      </c>
      <c r="AH128" s="95">
        <f>'IS (Bull-Case)'!AH128-'IS (Base-Case)'!AH128</f>
        <v>0</v>
      </c>
      <c r="AI128" s="95">
        <f>'IS (Bull-Case)'!AI128-'IS (Base-Case)'!AI128</f>
        <v>0</v>
      </c>
      <c r="AJ128" s="95">
        <f>'IS (Bull-Case)'!AJ128-'IS (Base-Case)'!AJ128</f>
        <v>0</v>
      </c>
      <c r="AK128" s="95">
        <f>'IS (Bull-Case)'!AK128-'IS (Base-Case)'!AK128</f>
        <v>0</v>
      </c>
      <c r="AL128" s="31">
        <f>'IS (Bull-Case)'!AL128-'IS (Base-Case)'!AL128</f>
        <v>0</v>
      </c>
      <c r="AM128" s="95">
        <f>'IS (Bull-Case)'!AM128-'IS (Base-Case)'!AM128</f>
        <v>0</v>
      </c>
      <c r="AN128" s="95">
        <f>'IS (Bull-Case)'!AN128-'IS (Base-Case)'!AN128</f>
        <v>0</v>
      </c>
      <c r="AO128" s="95">
        <f>'IS (Bull-Case)'!AO128-'IS (Base-Case)'!AO128</f>
        <v>0</v>
      </c>
      <c r="AP128" s="95">
        <f>'IS (Bull-Case)'!AP128-'IS (Base-Case)'!AP128</f>
        <v>0</v>
      </c>
      <c r="AQ128" s="31">
        <f>'IS (Bull-Case)'!AQ128-'IS (Base-Case)'!AQ128</f>
        <v>0</v>
      </c>
      <c r="AR128" s="95">
        <f>'IS (Bull-Case)'!AR128-'IS (Base-Case)'!AR128</f>
        <v>0</v>
      </c>
      <c r="AS128" s="95">
        <f>'IS (Bull-Case)'!AS128-'IS (Base-Case)'!AS128</f>
        <v>0</v>
      </c>
      <c r="AT128" s="95">
        <f>'IS (Bull-Case)'!AT128-'IS (Base-Case)'!AT128</f>
        <v>0</v>
      </c>
      <c r="AU128" s="95">
        <f>'IS (Bull-Case)'!AU128-'IS (Base-Case)'!AU128</f>
        <v>0</v>
      </c>
      <c r="AV128" s="31">
        <f>'IS (Bull-Case)'!AV128-'IS (Base-Case)'!AV128</f>
        <v>0</v>
      </c>
    </row>
    <row r="129" spans="2:48" ht="16.2" outlineLevel="1" x14ac:dyDescent="0.45">
      <c r="B129" s="180" t="s">
        <v>42</v>
      </c>
      <c r="C129" s="18"/>
      <c r="D129" s="119">
        <f>'IS (Bull-Case)'!D129-'IS (Base-Case)'!D129</f>
        <v>0</v>
      </c>
      <c r="E129" s="119">
        <f>'IS (Bull-Case)'!E129-'IS (Base-Case)'!E129</f>
        <v>0</v>
      </c>
      <c r="F129" s="119">
        <f>'IS (Bull-Case)'!F129-'IS (Base-Case)'!F129</f>
        <v>0</v>
      </c>
      <c r="G129" s="119">
        <f>'IS (Bull-Case)'!G129-'IS (Base-Case)'!G129</f>
        <v>0</v>
      </c>
      <c r="H129" s="131">
        <f>'IS (Bull-Case)'!H129-'IS (Base-Case)'!H129</f>
        <v>0</v>
      </c>
      <c r="I129" s="119">
        <f>'IS (Bull-Case)'!I129-'IS (Base-Case)'!I129</f>
        <v>0</v>
      </c>
      <c r="J129" s="119">
        <f>'IS (Bull-Case)'!J129-'IS (Base-Case)'!J129</f>
        <v>0</v>
      </c>
      <c r="K129" s="119">
        <f>'IS (Bull-Case)'!K129-'IS (Base-Case)'!K129</f>
        <v>0</v>
      </c>
      <c r="L129" s="119">
        <f>'IS (Bull-Case)'!L129-'IS (Base-Case)'!L129</f>
        <v>0</v>
      </c>
      <c r="M129" s="193">
        <f>'IS (Bull-Case)'!M129-'IS (Base-Case)'!M129</f>
        <v>0</v>
      </c>
      <c r="N129" s="119">
        <f>'IS (Bull-Case)'!N129-'IS (Base-Case)'!N129</f>
        <v>0</v>
      </c>
      <c r="O129" s="119">
        <f>'IS (Bull-Case)'!O129-'IS (Base-Case)'!O129</f>
        <v>0</v>
      </c>
      <c r="P129" s="119">
        <f>'IS (Bull-Case)'!P129-'IS (Base-Case)'!P129</f>
        <v>0</v>
      </c>
      <c r="Q129" s="119">
        <f>'IS (Bull-Case)'!Q129-'IS (Base-Case)'!Q129</f>
        <v>0</v>
      </c>
      <c r="R129" s="193">
        <f>'IS (Bull-Case)'!R129-'IS (Base-Case)'!R129</f>
        <v>0</v>
      </c>
      <c r="S129" s="119">
        <f>'IS (Bull-Case)'!S129-'IS (Base-Case)'!S129</f>
        <v>0</v>
      </c>
      <c r="T129" s="119">
        <f>'IS (Bull-Case)'!T129-'IS (Base-Case)'!T129</f>
        <v>0</v>
      </c>
      <c r="U129" s="119">
        <f>'IS (Bull-Case)'!U129-'IS (Base-Case)'!U129</f>
        <v>0</v>
      </c>
      <c r="V129" s="119">
        <f>'IS (Bull-Case)'!V129-'IS (Base-Case)'!V129</f>
        <v>0</v>
      </c>
      <c r="W129" s="193">
        <f>'IS (Bull-Case)'!W129-'IS (Base-Case)'!W129</f>
        <v>0</v>
      </c>
      <c r="X129" s="119">
        <f>'IS (Bull-Case)'!X129-'IS (Base-Case)'!X129</f>
        <v>0</v>
      </c>
      <c r="Y129" s="119">
        <f>'IS (Bull-Case)'!Y129-'IS (Base-Case)'!Y129</f>
        <v>0</v>
      </c>
      <c r="Z129" s="119">
        <f>'IS (Bull-Case)'!Z129-'IS (Base-Case)'!Z129</f>
        <v>0</v>
      </c>
      <c r="AA129" s="119">
        <f>'IS (Bull-Case)'!AA129-'IS (Base-Case)'!AA129</f>
        <v>0</v>
      </c>
      <c r="AB129" s="193">
        <f>'IS (Bull-Case)'!AB129-'IS (Base-Case)'!AB129</f>
        <v>0</v>
      </c>
      <c r="AC129" s="119">
        <f>'IS (Bull-Case)'!AC129-'IS (Base-Case)'!AC129</f>
        <v>0</v>
      </c>
      <c r="AD129" s="119">
        <f>'IS (Bull-Case)'!AD129-'IS (Base-Case)'!AD129</f>
        <v>0</v>
      </c>
      <c r="AE129" s="119">
        <f>'IS (Bull-Case)'!AE129-'IS (Base-Case)'!AE129</f>
        <v>0</v>
      </c>
      <c r="AF129" s="119">
        <f>'IS (Bull-Case)'!AF129-'IS (Base-Case)'!AF129</f>
        <v>0</v>
      </c>
      <c r="AG129" s="193">
        <f>'IS (Bull-Case)'!AG129-'IS (Base-Case)'!AG129</f>
        <v>0</v>
      </c>
      <c r="AH129" s="119">
        <f>'IS (Bull-Case)'!AH129-'IS (Base-Case)'!AH129</f>
        <v>0</v>
      </c>
      <c r="AI129" s="119">
        <f>'IS (Bull-Case)'!AI129-'IS (Base-Case)'!AI129</f>
        <v>0</v>
      </c>
      <c r="AJ129" s="119">
        <f>'IS (Bull-Case)'!AJ129-'IS (Base-Case)'!AJ129</f>
        <v>0</v>
      </c>
      <c r="AK129" s="119">
        <f>'IS (Bull-Case)'!AK129-'IS (Base-Case)'!AK129</f>
        <v>0</v>
      </c>
      <c r="AL129" s="193">
        <f>'IS (Bull-Case)'!AL129-'IS (Base-Case)'!AL129</f>
        <v>0</v>
      </c>
      <c r="AM129" s="119">
        <f>'IS (Bull-Case)'!AM129-'IS (Base-Case)'!AM129</f>
        <v>0</v>
      </c>
      <c r="AN129" s="119">
        <f>'IS (Bull-Case)'!AN129-'IS (Base-Case)'!AN129</f>
        <v>0</v>
      </c>
      <c r="AO129" s="119">
        <f>'IS (Bull-Case)'!AO129-'IS (Base-Case)'!AO129</f>
        <v>0</v>
      </c>
      <c r="AP129" s="119">
        <f>'IS (Bull-Case)'!AP129-'IS (Base-Case)'!AP129</f>
        <v>0</v>
      </c>
      <c r="AQ129" s="193">
        <f>'IS (Bull-Case)'!AQ129-'IS (Base-Case)'!AQ129</f>
        <v>0</v>
      </c>
      <c r="AR129" s="119">
        <f>'IS (Bull-Case)'!AR129-'IS (Base-Case)'!AR129</f>
        <v>0</v>
      </c>
      <c r="AS129" s="119">
        <f>'IS (Bull-Case)'!AS129-'IS (Base-Case)'!AS129</f>
        <v>0</v>
      </c>
      <c r="AT129" s="119">
        <f>'IS (Bull-Case)'!AT129-'IS (Base-Case)'!AT129</f>
        <v>0</v>
      </c>
      <c r="AU129" s="119">
        <f>'IS (Bull-Case)'!AU129-'IS (Base-Case)'!AU129</f>
        <v>0</v>
      </c>
      <c r="AV129" s="193">
        <f>'IS (Bull-Case)'!AV129-'IS (Base-Case)'!AV129</f>
        <v>0</v>
      </c>
    </row>
    <row r="130" spans="2:48" outlineLevel="1" x14ac:dyDescent="0.3">
      <c r="B130" s="46" t="s">
        <v>56</v>
      </c>
      <c r="C130" s="19"/>
      <c r="D130" s="103">
        <f>'IS (Bull-Case)'!D130-'IS (Base-Case)'!D130</f>
        <v>0</v>
      </c>
      <c r="E130" s="103">
        <f>'IS (Bull-Case)'!E130-'IS (Base-Case)'!E130</f>
        <v>0</v>
      </c>
      <c r="F130" s="103">
        <f>'IS (Bull-Case)'!F130-'IS (Base-Case)'!F130</f>
        <v>0</v>
      </c>
      <c r="G130" s="103">
        <f>'IS (Bull-Case)'!G130-'IS (Base-Case)'!G130</f>
        <v>0</v>
      </c>
      <c r="H130" s="130">
        <f>'IS (Bull-Case)'!H130-'IS (Base-Case)'!H130</f>
        <v>0</v>
      </c>
      <c r="I130" s="103">
        <f>'IS (Bull-Case)'!I130-'IS (Base-Case)'!I130</f>
        <v>0</v>
      </c>
      <c r="J130" s="103">
        <f>'IS (Bull-Case)'!J130-'IS (Base-Case)'!J130</f>
        <v>0</v>
      </c>
      <c r="K130" s="103">
        <f>'IS (Bull-Case)'!K130-'IS (Base-Case)'!K130</f>
        <v>0</v>
      </c>
      <c r="L130" s="50">
        <f>'IS (Bull-Case)'!L130-'IS (Base-Case)'!L130</f>
        <v>0</v>
      </c>
      <c r="M130" s="51">
        <f>'IS (Bull-Case)'!M130-'IS (Base-Case)'!M130</f>
        <v>0</v>
      </c>
      <c r="N130" s="50">
        <f>'IS (Bull-Case)'!N130-'IS (Base-Case)'!N130</f>
        <v>0</v>
      </c>
      <c r="O130" s="50">
        <f>'IS (Bull-Case)'!O130-'IS (Base-Case)'!O130</f>
        <v>0</v>
      </c>
      <c r="P130" s="50">
        <f>'IS (Bull-Case)'!P130-'IS (Base-Case)'!P130</f>
        <v>0</v>
      </c>
      <c r="Q130" s="50">
        <f>'IS (Bull-Case)'!Q130-'IS (Base-Case)'!Q130</f>
        <v>0</v>
      </c>
      <c r="R130" s="51">
        <f>'IS (Bull-Case)'!R130-'IS (Base-Case)'!R130</f>
        <v>0</v>
      </c>
      <c r="S130" s="50">
        <f>'IS (Bull-Case)'!S130-'IS (Base-Case)'!S130</f>
        <v>0</v>
      </c>
      <c r="T130" s="50">
        <f>'IS (Bull-Case)'!T130-'IS (Base-Case)'!T130</f>
        <v>0</v>
      </c>
      <c r="U130" s="50">
        <f>'IS (Bull-Case)'!U130-'IS (Base-Case)'!U130</f>
        <v>0</v>
      </c>
      <c r="V130" s="50">
        <f>'IS (Bull-Case)'!V130-'IS (Base-Case)'!V130</f>
        <v>0</v>
      </c>
      <c r="W130" s="51">
        <f>'IS (Bull-Case)'!W130-'IS (Base-Case)'!W130</f>
        <v>0</v>
      </c>
      <c r="X130" s="50">
        <f>'IS (Bull-Case)'!X130-'IS (Base-Case)'!X130</f>
        <v>0</v>
      </c>
      <c r="Y130" s="50">
        <f>'IS (Bull-Case)'!Y130-'IS (Base-Case)'!Y130</f>
        <v>5.4143299132647371E-4</v>
      </c>
      <c r="Z130" s="50">
        <f>'IS (Bull-Case)'!Z130-'IS (Base-Case)'!Z130</f>
        <v>4.8243315148965848E-4</v>
      </c>
      <c r="AA130" s="50">
        <f>'IS (Bull-Case)'!AA130-'IS (Base-Case)'!AA130</f>
        <v>9.6475641385040944E-4</v>
      </c>
      <c r="AB130" s="51">
        <f>'IS (Bull-Case)'!AB130-'IS (Base-Case)'!AB130</f>
        <v>1.9886225566096982E-3</v>
      </c>
      <c r="AC130" s="50">
        <f>'IS (Bull-Case)'!AC130-'IS (Base-Case)'!AC130</f>
        <v>-1.2076299674390611E-4</v>
      </c>
      <c r="AD130" s="50">
        <f>'IS (Bull-Case)'!AD130-'IS (Base-Case)'!AD130</f>
        <v>1.187498852459612E-4</v>
      </c>
      <c r="AE130" s="50">
        <f>'IS (Bull-Case)'!AE130-'IS (Base-Case)'!AE130</f>
        <v>8.1545115551762137E-4</v>
      </c>
      <c r="AF130" s="50">
        <f>'IS (Bull-Case)'!AF130-'IS (Base-Case)'!AF130</f>
        <v>1.8681017097037511E-3</v>
      </c>
      <c r="AG130" s="51">
        <f>'IS (Bull-Case)'!AG130-'IS (Base-Case)'!AG130</f>
        <v>2.6815397536665841E-3</v>
      </c>
      <c r="AH130" s="50">
        <f>'IS (Bull-Case)'!AH130-'IS (Base-Case)'!AH130</f>
        <v>-2.8360206351862871E-4</v>
      </c>
      <c r="AI130" s="50">
        <f>'IS (Bull-Case)'!AI130-'IS (Base-Case)'!AI130</f>
        <v>1.180292160256613E-4</v>
      </c>
      <c r="AJ130" s="50">
        <f>'IS (Bull-Case)'!AJ130-'IS (Base-Case)'!AJ130</f>
        <v>1.3707536986657942E-3</v>
      </c>
      <c r="AK130" s="50">
        <f>'IS (Bull-Case)'!AK130-'IS (Base-Case)'!AK130</f>
        <v>2.8392665877277068E-3</v>
      </c>
      <c r="AL130" s="51">
        <f>'IS (Bull-Case)'!AL130-'IS (Base-Case)'!AL130</f>
        <v>4.0444474389005336E-3</v>
      </c>
      <c r="AM130" s="50">
        <f>'IS (Bull-Case)'!AM130-'IS (Base-Case)'!AM130</f>
        <v>-5.2920093526154233E-4</v>
      </c>
      <c r="AN130" s="50">
        <f>'IS (Bull-Case)'!AN130-'IS (Base-Case)'!AN130</f>
        <v>-1.4888560675672124E-3</v>
      </c>
      <c r="AO130" s="50">
        <f>'IS (Bull-Case)'!AO130-'IS (Base-Case)'!AO130</f>
        <v>-8.794929792657058E-4</v>
      </c>
      <c r="AP130" s="50">
        <f>'IS (Bull-Case)'!AP130-'IS (Base-Case)'!AP130</f>
        <v>2.9773486289741413E-4</v>
      </c>
      <c r="AQ130" s="51">
        <f>'IS (Bull-Case)'!AQ130-'IS (Base-Case)'!AQ130</f>
        <v>-2.5998151193107333E-3</v>
      </c>
      <c r="AR130" s="50">
        <f>'IS (Bull-Case)'!AR130-'IS (Base-Case)'!AR130</f>
        <v>-3.448151280338152E-3</v>
      </c>
      <c r="AS130" s="50">
        <f>'IS (Bull-Case)'!AS130-'IS (Base-Case)'!AS130</f>
        <v>-4.4335869073393042E-3</v>
      </c>
      <c r="AT130" s="50">
        <f>'IS (Bull-Case)'!AT130-'IS (Base-Case)'!AT130</f>
        <v>-3.7021192147221882E-3</v>
      </c>
      <c r="AU130" s="50">
        <f>'IS (Bull-Case)'!AU130-'IS (Base-Case)'!AU130</f>
        <v>-2.3754688921826528E-3</v>
      </c>
      <c r="AV130" s="51">
        <f>'IS (Bull-Case)'!AV130-'IS (Base-Case)'!AV130</f>
        <v>-1.3959326294752827E-2</v>
      </c>
    </row>
    <row r="131" spans="2:48" outlineLevel="1" x14ac:dyDescent="0.3">
      <c r="B131" s="46" t="s">
        <v>57</v>
      </c>
      <c r="C131" s="44"/>
      <c r="D131" s="156">
        <f>'IS (Bull-Case)'!D131-'IS (Base-Case)'!D131</f>
        <v>0</v>
      </c>
      <c r="E131" s="156">
        <f>'IS (Bull-Case)'!E131-'IS (Base-Case)'!E131</f>
        <v>0</v>
      </c>
      <c r="F131" s="156">
        <f>'IS (Bull-Case)'!F131-'IS (Base-Case)'!F131</f>
        <v>0</v>
      </c>
      <c r="G131" s="156">
        <f>'IS (Bull-Case)'!G131-'IS (Base-Case)'!G131</f>
        <v>0</v>
      </c>
      <c r="H131" s="158">
        <f>'IS (Bull-Case)'!H131-'IS (Base-Case)'!H131</f>
        <v>0</v>
      </c>
      <c r="I131" s="156">
        <f>'IS (Bull-Case)'!I131-'IS (Base-Case)'!I131</f>
        <v>0</v>
      </c>
      <c r="J131" s="156">
        <f>'IS (Bull-Case)'!J131-'IS (Base-Case)'!J131</f>
        <v>0</v>
      </c>
      <c r="K131" s="156">
        <f>'IS (Bull-Case)'!K131-'IS (Base-Case)'!K131</f>
        <v>0</v>
      </c>
      <c r="L131" s="74">
        <f>'IS (Bull-Case)'!L131-'IS (Base-Case)'!L131</f>
        <v>0</v>
      </c>
      <c r="M131" s="194">
        <f>'IS (Bull-Case)'!M131-'IS (Base-Case)'!M131</f>
        <v>0</v>
      </c>
      <c r="N131" s="74">
        <f>'IS (Bull-Case)'!N131-'IS (Base-Case)'!N131</f>
        <v>0</v>
      </c>
      <c r="O131" s="74">
        <f>'IS (Bull-Case)'!O131-'IS (Base-Case)'!O131</f>
        <v>0</v>
      </c>
      <c r="P131" s="74">
        <f>'IS (Bull-Case)'!P131-'IS (Base-Case)'!P131</f>
        <v>0</v>
      </c>
      <c r="Q131" s="74">
        <f>'IS (Bull-Case)'!Q131-'IS (Base-Case)'!Q131</f>
        <v>0</v>
      </c>
      <c r="R131" s="194">
        <f>'IS (Bull-Case)'!R131-'IS (Base-Case)'!R131</f>
        <v>0</v>
      </c>
      <c r="S131" s="74">
        <f>'IS (Bull-Case)'!S131-'IS (Base-Case)'!S131</f>
        <v>0</v>
      </c>
      <c r="T131" s="74">
        <f>'IS (Bull-Case)'!T131-'IS (Base-Case)'!T131</f>
        <v>0</v>
      </c>
      <c r="U131" s="74">
        <f>'IS (Bull-Case)'!U131-'IS (Base-Case)'!U131</f>
        <v>0</v>
      </c>
      <c r="V131" s="74">
        <f>'IS (Bull-Case)'!V131-'IS (Base-Case)'!V131</f>
        <v>0</v>
      </c>
      <c r="W131" s="194">
        <f>'IS (Bull-Case)'!W131-'IS (Base-Case)'!W131</f>
        <v>0</v>
      </c>
      <c r="X131" s="74">
        <f>'IS (Bull-Case)'!X131-'IS (Base-Case)'!X131</f>
        <v>0</v>
      </c>
      <c r="Y131" s="74">
        <f>'IS (Bull-Case)'!Y131-'IS (Base-Case)'!Y131</f>
        <v>-5.4143299132647371E-4</v>
      </c>
      <c r="Z131" s="74">
        <f>'IS (Bull-Case)'!Z131-'IS (Base-Case)'!Z131</f>
        <v>-4.8243315148965848E-4</v>
      </c>
      <c r="AA131" s="74">
        <f>'IS (Bull-Case)'!AA131-'IS (Base-Case)'!AA131</f>
        <v>-9.6475641385040944E-4</v>
      </c>
      <c r="AB131" s="194">
        <f>'IS (Bull-Case)'!AB131-'IS (Base-Case)'!AB131</f>
        <v>-1.9886225566096982E-3</v>
      </c>
      <c r="AC131" s="74">
        <f>'IS (Bull-Case)'!AC131-'IS (Base-Case)'!AC131</f>
        <v>1.2076299674390611E-4</v>
      </c>
      <c r="AD131" s="74">
        <f>'IS (Bull-Case)'!AD131-'IS (Base-Case)'!AD131</f>
        <v>-1.187498852459612E-4</v>
      </c>
      <c r="AE131" s="74">
        <f>'IS (Bull-Case)'!AE131-'IS (Base-Case)'!AE131</f>
        <v>-8.1545115551762137E-4</v>
      </c>
      <c r="AF131" s="74">
        <f>'IS (Bull-Case)'!AF131-'IS (Base-Case)'!AF131</f>
        <v>-1.8681017097037511E-3</v>
      </c>
      <c r="AG131" s="194">
        <f>'IS (Bull-Case)'!AG131-'IS (Base-Case)'!AG131</f>
        <v>-2.6815397536665841E-3</v>
      </c>
      <c r="AH131" s="74">
        <f>'IS (Bull-Case)'!AH131-'IS (Base-Case)'!AH131</f>
        <v>2.8360206351862871E-4</v>
      </c>
      <c r="AI131" s="74">
        <f>'IS (Bull-Case)'!AI131-'IS (Base-Case)'!AI131</f>
        <v>-1.180292160256613E-4</v>
      </c>
      <c r="AJ131" s="74">
        <f>'IS (Bull-Case)'!AJ131-'IS (Base-Case)'!AJ131</f>
        <v>-1.3707536986657942E-3</v>
      </c>
      <c r="AK131" s="74">
        <f>'IS (Bull-Case)'!AK131-'IS (Base-Case)'!AK131</f>
        <v>-2.8392665877277068E-3</v>
      </c>
      <c r="AL131" s="194">
        <f>'IS (Bull-Case)'!AL131-'IS (Base-Case)'!AL131</f>
        <v>-4.0444474389005336E-3</v>
      </c>
      <c r="AM131" s="74">
        <f>'IS (Bull-Case)'!AM131-'IS (Base-Case)'!AM131</f>
        <v>5.2920093526154233E-4</v>
      </c>
      <c r="AN131" s="74">
        <f>'IS (Bull-Case)'!AN131-'IS (Base-Case)'!AN131</f>
        <v>1.4888560675672124E-3</v>
      </c>
      <c r="AO131" s="74">
        <f>'IS (Bull-Case)'!AO131-'IS (Base-Case)'!AO131</f>
        <v>8.794929792657058E-4</v>
      </c>
      <c r="AP131" s="74">
        <f>'IS (Bull-Case)'!AP131-'IS (Base-Case)'!AP131</f>
        <v>-2.9773486289741413E-4</v>
      </c>
      <c r="AQ131" s="194">
        <f>'IS (Bull-Case)'!AQ131-'IS (Base-Case)'!AQ131</f>
        <v>2.5998151193107333E-3</v>
      </c>
      <c r="AR131" s="74">
        <f>'IS (Bull-Case)'!AR131-'IS (Base-Case)'!AR131</f>
        <v>3.448151280338152E-3</v>
      </c>
      <c r="AS131" s="74">
        <f>'IS (Bull-Case)'!AS131-'IS (Base-Case)'!AS131</f>
        <v>4.4335869073393042E-3</v>
      </c>
      <c r="AT131" s="74">
        <f>'IS (Bull-Case)'!AT131-'IS (Base-Case)'!AT131</f>
        <v>3.7021192147221882E-3</v>
      </c>
      <c r="AU131" s="74">
        <f>'IS (Bull-Case)'!AU131-'IS (Base-Case)'!AU131</f>
        <v>2.3754688921826528E-3</v>
      </c>
      <c r="AV131" s="194">
        <f>'IS (Bull-Case)'!AV131-'IS (Base-Case)'!AV131</f>
        <v>1.3959326294752827E-2</v>
      </c>
    </row>
    <row r="132" spans="2:48" ht="17.399999999999999" x14ac:dyDescent="0.45">
      <c r="B132" s="433" t="s">
        <v>14</v>
      </c>
      <c r="C132" s="434"/>
      <c r="D132" s="14" t="s">
        <v>19</v>
      </c>
      <c r="E132" s="14" t="s">
        <v>81</v>
      </c>
      <c r="F132" s="14" t="s">
        <v>85</v>
      </c>
      <c r="G132" s="14" t="s">
        <v>95</v>
      </c>
      <c r="H132" s="40" t="s">
        <v>96</v>
      </c>
      <c r="I132" s="14" t="s">
        <v>97</v>
      </c>
      <c r="J132" s="14" t="s">
        <v>98</v>
      </c>
      <c r="K132" s="14" t="s">
        <v>99</v>
      </c>
      <c r="L132" s="14" t="s">
        <v>142</v>
      </c>
      <c r="M132" s="40" t="s">
        <v>143</v>
      </c>
      <c r="N132" s="14" t="s">
        <v>149</v>
      </c>
      <c r="O132" s="14" t="s">
        <v>157</v>
      </c>
      <c r="P132" s="14" t="s">
        <v>159</v>
      </c>
      <c r="Q132" s="14" t="s">
        <v>172</v>
      </c>
      <c r="R132" s="40" t="s">
        <v>173</v>
      </c>
      <c r="S132" s="14" t="s">
        <v>188</v>
      </c>
      <c r="T132" s="14" t="s">
        <v>189</v>
      </c>
      <c r="U132" s="14" t="s">
        <v>204</v>
      </c>
      <c r="V132" s="12" t="s">
        <v>25</v>
      </c>
      <c r="W132" s="42" t="s">
        <v>26</v>
      </c>
      <c r="X132" s="12" t="s">
        <v>27</v>
      </c>
      <c r="Y132" s="12" t="s">
        <v>28</v>
      </c>
      <c r="Z132" s="12" t="s">
        <v>29</v>
      </c>
      <c r="AA132" s="12" t="s">
        <v>30</v>
      </c>
      <c r="AB132" s="42" t="s">
        <v>31</v>
      </c>
      <c r="AC132" s="12" t="s">
        <v>90</v>
      </c>
      <c r="AD132" s="12" t="s">
        <v>91</v>
      </c>
      <c r="AE132" s="12" t="s">
        <v>92</v>
      </c>
      <c r="AF132" s="12" t="s">
        <v>93</v>
      </c>
      <c r="AG132" s="42" t="s">
        <v>94</v>
      </c>
      <c r="AH132" s="12" t="s">
        <v>109</v>
      </c>
      <c r="AI132" s="12" t="s">
        <v>110</v>
      </c>
      <c r="AJ132" s="12" t="s">
        <v>111</v>
      </c>
      <c r="AK132" s="12" t="s">
        <v>112</v>
      </c>
      <c r="AL132" s="42" t="s">
        <v>113</v>
      </c>
      <c r="AM132" s="12" t="s">
        <v>164</v>
      </c>
      <c r="AN132" s="12" t="s">
        <v>165</v>
      </c>
      <c r="AO132" s="12" t="s">
        <v>166</v>
      </c>
      <c r="AP132" s="12" t="s">
        <v>167</v>
      </c>
      <c r="AQ132" s="42" t="s">
        <v>168</v>
      </c>
      <c r="AR132" s="12" t="s">
        <v>195</v>
      </c>
      <c r="AS132" s="12" t="s">
        <v>196</v>
      </c>
      <c r="AT132" s="12" t="s">
        <v>197</v>
      </c>
      <c r="AU132" s="12" t="s">
        <v>198</v>
      </c>
      <c r="AV132" s="42" t="s">
        <v>199</v>
      </c>
    </row>
    <row r="133" spans="2:48" s="77" customFormat="1" ht="15.6" customHeight="1" outlineLevel="1" x14ac:dyDescent="0.3">
      <c r="B133" s="64" t="s">
        <v>59</v>
      </c>
      <c r="C133" s="78"/>
      <c r="D133" s="65">
        <f>'IS (Bull-Case)'!D133-'IS (Base-Case)'!D133</f>
        <v>0</v>
      </c>
      <c r="E133" s="65">
        <f>'IS (Bull-Case)'!E133-'IS (Base-Case)'!E133</f>
        <v>0</v>
      </c>
      <c r="F133" s="121">
        <f>'IS (Bull-Case)'!F133-'IS (Base-Case)'!F133</f>
        <v>0</v>
      </c>
      <c r="G133" s="65">
        <f>'IS (Bull-Case)'!G133-'IS (Base-Case)'!G133</f>
        <v>0</v>
      </c>
      <c r="H133" s="66">
        <f>'IS (Bull-Case)'!H133-'IS (Base-Case)'!H133</f>
        <v>0</v>
      </c>
      <c r="I133" s="65">
        <f>'IS (Bull-Case)'!I133-'IS (Base-Case)'!I133</f>
        <v>0</v>
      </c>
      <c r="J133" s="65">
        <f>'IS (Bull-Case)'!J133-'IS (Base-Case)'!J133</f>
        <v>0</v>
      </c>
      <c r="K133" s="121">
        <f>'IS (Bull-Case)'!K133-'IS (Base-Case)'!K133</f>
        <v>0</v>
      </c>
      <c r="L133" s="65">
        <f>'IS (Bull-Case)'!L133-'IS (Base-Case)'!L133</f>
        <v>0</v>
      </c>
      <c r="M133" s="66">
        <f>'IS (Bull-Case)'!M133-'IS (Base-Case)'!M133</f>
        <v>0</v>
      </c>
      <c r="N133" s="65">
        <f>'IS (Bull-Case)'!N133-'IS (Base-Case)'!N133</f>
        <v>0</v>
      </c>
      <c r="O133" s="65">
        <f>'IS (Bull-Case)'!O133-'IS (Base-Case)'!O133</f>
        <v>0</v>
      </c>
      <c r="P133" s="121">
        <f>'IS (Bull-Case)'!P133-'IS (Base-Case)'!P133</f>
        <v>0</v>
      </c>
      <c r="Q133" s="65">
        <f>'IS (Bull-Case)'!Q133-'IS (Base-Case)'!Q133</f>
        <v>0</v>
      </c>
      <c r="R133" s="66">
        <f>'IS (Bull-Case)'!R133-'IS (Base-Case)'!R133</f>
        <v>0</v>
      </c>
      <c r="S133" s="65">
        <f>'IS (Bull-Case)'!S133-'IS (Base-Case)'!S133</f>
        <v>0</v>
      </c>
      <c r="T133" s="65">
        <f>'IS (Bull-Case)'!T133-'IS (Base-Case)'!T133</f>
        <v>0</v>
      </c>
      <c r="U133" s="121">
        <f>'IS (Bull-Case)'!U133-'IS (Base-Case)'!U133</f>
        <v>0</v>
      </c>
      <c r="V133" s="65">
        <f>'IS (Bull-Case)'!V133-'IS (Base-Case)'!V133</f>
        <v>0</v>
      </c>
      <c r="W133" s="66">
        <f>'IS (Bull-Case)'!W133-'IS (Base-Case)'!W133</f>
        <v>0</v>
      </c>
      <c r="X133" s="65">
        <f>'IS (Bull-Case)'!X133-'IS (Base-Case)'!X133</f>
        <v>0</v>
      </c>
      <c r="Y133" s="65">
        <f>'IS (Bull-Case)'!Y133-'IS (Base-Case)'!Y133</f>
        <v>0</v>
      </c>
      <c r="Z133" s="121">
        <f>'IS (Bull-Case)'!Z133-'IS (Base-Case)'!Z133</f>
        <v>0</v>
      </c>
      <c r="AA133" s="65">
        <f>'IS (Bull-Case)'!AA133-'IS (Base-Case)'!AA133</f>
        <v>0</v>
      </c>
      <c r="AB133" s="66">
        <f>'IS (Bull-Case)'!AB133-'IS (Base-Case)'!AB133</f>
        <v>0</v>
      </c>
      <c r="AC133" s="65">
        <f>'IS (Bull-Case)'!AC133-'IS (Base-Case)'!AC133</f>
        <v>0</v>
      </c>
      <c r="AD133" s="65">
        <f>'IS (Bull-Case)'!AD133-'IS (Base-Case)'!AD133</f>
        <v>0</v>
      </c>
      <c r="AE133" s="121">
        <f>'IS (Bull-Case)'!AE133-'IS (Base-Case)'!AE133</f>
        <v>0</v>
      </c>
      <c r="AF133" s="65">
        <f>'IS (Bull-Case)'!AF133-'IS (Base-Case)'!AF133</f>
        <v>0</v>
      </c>
      <c r="AG133" s="66">
        <f>'IS (Bull-Case)'!AG133-'IS (Base-Case)'!AG133</f>
        <v>0</v>
      </c>
      <c r="AH133" s="65">
        <f>'IS (Bull-Case)'!AH133-'IS (Base-Case)'!AH133</f>
        <v>0</v>
      </c>
      <c r="AI133" s="65">
        <f>'IS (Bull-Case)'!AI133-'IS (Base-Case)'!AI133</f>
        <v>0</v>
      </c>
      <c r="AJ133" s="121">
        <f>'IS (Bull-Case)'!AJ133-'IS (Base-Case)'!AJ133</f>
        <v>0</v>
      </c>
      <c r="AK133" s="65">
        <f>'IS (Bull-Case)'!AK133-'IS (Base-Case)'!AK133</f>
        <v>0</v>
      </c>
      <c r="AL133" s="66">
        <f>'IS (Bull-Case)'!AL133-'IS (Base-Case)'!AL133</f>
        <v>0</v>
      </c>
      <c r="AM133" s="65">
        <f>'IS (Bull-Case)'!AM133-'IS (Base-Case)'!AM133</f>
        <v>0</v>
      </c>
      <c r="AN133" s="65">
        <f>'IS (Bull-Case)'!AN133-'IS (Base-Case)'!AN133</f>
        <v>0</v>
      </c>
      <c r="AO133" s="121">
        <f>'IS (Bull-Case)'!AO133-'IS (Base-Case)'!AO133</f>
        <v>0</v>
      </c>
      <c r="AP133" s="65">
        <f>'IS (Bull-Case)'!AP133-'IS (Base-Case)'!AP133</f>
        <v>0</v>
      </c>
      <c r="AQ133" s="66">
        <f>'IS (Bull-Case)'!AQ133-'IS (Base-Case)'!AQ133</f>
        <v>0</v>
      </c>
      <c r="AR133" s="65">
        <f>'IS (Bull-Case)'!AR133-'IS (Base-Case)'!AR133</f>
        <v>0</v>
      </c>
      <c r="AS133" s="65">
        <f>'IS (Bull-Case)'!AS133-'IS (Base-Case)'!AS133</f>
        <v>0</v>
      </c>
      <c r="AT133" s="121">
        <f>'IS (Bull-Case)'!AT133-'IS (Base-Case)'!AT133</f>
        <v>0</v>
      </c>
      <c r="AU133" s="65">
        <f>'IS (Bull-Case)'!AU133-'IS (Base-Case)'!AU133</f>
        <v>0</v>
      </c>
      <c r="AV133" s="66">
        <f>'IS (Bull-Case)'!AV133-'IS (Base-Case)'!AV133</f>
        <v>0</v>
      </c>
    </row>
    <row r="134" spans="2:48" s="77" customFormat="1" ht="15.6" customHeight="1" outlineLevel="1" x14ac:dyDescent="0.3">
      <c r="B134" s="64" t="s">
        <v>60</v>
      </c>
      <c r="C134" s="78"/>
      <c r="D134" s="65">
        <f>'IS (Bull-Case)'!D134-'IS (Base-Case)'!D134</f>
        <v>0</v>
      </c>
      <c r="E134" s="65">
        <f>'IS (Bull-Case)'!E134-'IS (Base-Case)'!E134</f>
        <v>0</v>
      </c>
      <c r="F134" s="121">
        <f>'IS (Bull-Case)'!F134-'IS (Base-Case)'!F134</f>
        <v>0</v>
      </c>
      <c r="G134" s="65">
        <f>'IS (Bull-Case)'!G134-'IS (Base-Case)'!G134</f>
        <v>0</v>
      </c>
      <c r="H134" s="66">
        <f>'IS (Bull-Case)'!H134-'IS (Base-Case)'!H134</f>
        <v>0</v>
      </c>
      <c r="I134" s="65">
        <f>'IS (Bull-Case)'!I134-'IS (Base-Case)'!I134</f>
        <v>0</v>
      </c>
      <c r="J134" s="65">
        <f>'IS (Bull-Case)'!J134-'IS (Base-Case)'!J134</f>
        <v>0</v>
      </c>
      <c r="K134" s="121">
        <f>'IS (Bull-Case)'!K134-'IS (Base-Case)'!K134</f>
        <v>0</v>
      </c>
      <c r="L134" s="65">
        <f>'IS (Bull-Case)'!L134-'IS (Base-Case)'!L134</f>
        <v>0</v>
      </c>
      <c r="M134" s="66">
        <f>'IS (Bull-Case)'!M134-'IS (Base-Case)'!M134</f>
        <v>0</v>
      </c>
      <c r="N134" s="65">
        <f>'IS (Bull-Case)'!N134-'IS (Base-Case)'!N134</f>
        <v>0</v>
      </c>
      <c r="O134" s="65">
        <f>'IS (Bull-Case)'!O134-'IS (Base-Case)'!O134</f>
        <v>0</v>
      </c>
      <c r="P134" s="121">
        <f>'IS (Bull-Case)'!P134-'IS (Base-Case)'!P134</f>
        <v>0</v>
      </c>
      <c r="Q134" s="65">
        <f>'IS (Bull-Case)'!Q134-'IS (Base-Case)'!Q134</f>
        <v>0</v>
      </c>
      <c r="R134" s="66">
        <f>'IS (Bull-Case)'!R134-'IS (Base-Case)'!R134</f>
        <v>0</v>
      </c>
      <c r="S134" s="65">
        <f>'IS (Bull-Case)'!S134-'IS (Base-Case)'!S134</f>
        <v>0</v>
      </c>
      <c r="T134" s="65">
        <f>'IS (Bull-Case)'!T134-'IS (Base-Case)'!T134</f>
        <v>0</v>
      </c>
      <c r="U134" s="121">
        <f>'IS (Bull-Case)'!U134-'IS (Base-Case)'!U134</f>
        <v>0</v>
      </c>
      <c r="V134" s="65">
        <f>'IS (Bull-Case)'!V134-'IS (Base-Case)'!V134</f>
        <v>0</v>
      </c>
      <c r="W134" s="66">
        <f>'IS (Bull-Case)'!W134-'IS (Base-Case)'!W134</f>
        <v>0</v>
      </c>
      <c r="X134" s="65">
        <f>'IS (Bull-Case)'!X134-'IS (Base-Case)'!X134</f>
        <v>0</v>
      </c>
      <c r="Y134" s="65">
        <f>'IS (Bull-Case)'!Y134-'IS (Base-Case)'!Y134</f>
        <v>0</v>
      </c>
      <c r="Z134" s="121">
        <f>'IS (Bull-Case)'!Z134-'IS (Base-Case)'!Z134</f>
        <v>0</v>
      </c>
      <c r="AA134" s="65">
        <f>'IS (Bull-Case)'!AA134-'IS (Base-Case)'!AA134</f>
        <v>0</v>
      </c>
      <c r="AB134" s="66">
        <f>'IS (Bull-Case)'!AB134-'IS (Base-Case)'!AB134</f>
        <v>0</v>
      </c>
      <c r="AC134" s="65">
        <f>'IS (Bull-Case)'!AC134-'IS (Base-Case)'!AC134</f>
        <v>0</v>
      </c>
      <c r="AD134" s="65">
        <f>'IS (Bull-Case)'!AD134-'IS (Base-Case)'!AD134</f>
        <v>0</v>
      </c>
      <c r="AE134" s="121">
        <f>'IS (Bull-Case)'!AE134-'IS (Base-Case)'!AE134</f>
        <v>0</v>
      </c>
      <c r="AF134" s="65">
        <f>'IS (Bull-Case)'!AF134-'IS (Base-Case)'!AF134</f>
        <v>0</v>
      </c>
      <c r="AG134" s="66">
        <f>'IS (Bull-Case)'!AG134-'IS (Base-Case)'!AG134</f>
        <v>0</v>
      </c>
      <c r="AH134" s="65">
        <f>'IS (Bull-Case)'!AH134-'IS (Base-Case)'!AH134</f>
        <v>0</v>
      </c>
      <c r="AI134" s="65">
        <f>'IS (Bull-Case)'!AI134-'IS (Base-Case)'!AI134</f>
        <v>0</v>
      </c>
      <c r="AJ134" s="121">
        <f>'IS (Bull-Case)'!AJ134-'IS (Base-Case)'!AJ134</f>
        <v>0</v>
      </c>
      <c r="AK134" s="65">
        <f>'IS (Bull-Case)'!AK134-'IS (Base-Case)'!AK134</f>
        <v>0</v>
      </c>
      <c r="AL134" s="66">
        <f>'IS (Bull-Case)'!AL134-'IS (Base-Case)'!AL134</f>
        <v>0</v>
      </c>
      <c r="AM134" s="65">
        <f>'IS (Bull-Case)'!AM134-'IS (Base-Case)'!AM134</f>
        <v>0</v>
      </c>
      <c r="AN134" s="65">
        <f>'IS (Bull-Case)'!AN134-'IS (Base-Case)'!AN134</f>
        <v>0</v>
      </c>
      <c r="AO134" s="121">
        <f>'IS (Bull-Case)'!AO134-'IS (Base-Case)'!AO134</f>
        <v>0</v>
      </c>
      <c r="AP134" s="65">
        <f>'IS (Bull-Case)'!AP134-'IS (Base-Case)'!AP134</f>
        <v>0</v>
      </c>
      <c r="AQ134" s="66">
        <f>'IS (Bull-Case)'!AQ134-'IS (Base-Case)'!AQ134</f>
        <v>0</v>
      </c>
      <c r="AR134" s="65">
        <f>'IS (Bull-Case)'!AR134-'IS (Base-Case)'!AR134</f>
        <v>0</v>
      </c>
      <c r="AS134" s="65">
        <f>'IS (Bull-Case)'!AS134-'IS (Base-Case)'!AS134</f>
        <v>0</v>
      </c>
      <c r="AT134" s="121">
        <f>'IS (Bull-Case)'!AT134-'IS (Base-Case)'!AT134</f>
        <v>0</v>
      </c>
      <c r="AU134" s="65">
        <f>'IS (Bull-Case)'!AU134-'IS (Base-Case)'!AU134</f>
        <v>0</v>
      </c>
      <c r="AV134" s="66">
        <f>'IS (Bull-Case)'!AV134-'IS (Base-Case)'!AV134</f>
        <v>0</v>
      </c>
    </row>
    <row r="135" spans="2:48" s="77" customFormat="1" ht="15.6" customHeight="1" outlineLevel="1" x14ac:dyDescent="0.3">
      <c r="B135" s="64" t="s">
        <v>61</v>
      </c>
      <c r="C135" s="78"/>
      <c r="D135" s="65">
        <f>'IS (Bull-Case)'!D135-'IS (Base-Case)'!D135</f>
        <v>0</v>
      </c>
      <c r="E135" s="65">
        <f>'IS (Bull-Case)'!E135-'IS (Base-Case)'!E135</f>
        <v>0</v>
      </c>
      <c r="F135" s="121">
        <f>'IS (Bull-Case)'!F135-'IS (Base-Case)'!F135</f>
        <v>0</v>
      </c>
      <c r="G135" s="65">
        <f>'IS (Bull-Case)'!G135-'IS (Base-Case)'!G135</f>
        <v>0</v>
      </c>
      <c r="H135" s="66">
        <f>'IS (Bull-Case)'!H135-'IS (Base-Case)'!H135</f>
        <v>0</v>
      </c>
      <c r="I135" s="65">
        <f>'IS (Bull-Case)'!I135-'IS (Base-Case)'!I135</f>
        <v>0</v>
      </c>
      <c r="J135" s="65">
        <f>'IS (Bull-Case)'!J135-'IS (Base-Case)'!J135</f>
        <v>0</v>
      </c>
      <c r="K135" s="121">
        <f>'IS (Bull-Case)'!K135-'IS (Base-Case)'!K135</f>
        <v>0</v>
      </c>
      <c r="L135" s="65">
        <f>'IS (Bull-Case)'!L135-'IS (Base-Case)'!L135</f>
        <v>0</v>
      </c>
      <c r="M135" s="66">
        <f>'IS (Bull-Case)'!M135-'IS (Base-Case)'!M135</f>
        <v>0</v>
      </c>
      <c r="N135" s="65">
        <f>'IS (Bull-Case)'!N135-'IS (Base-Case)'!N135</f>
        <v>0</v>
      </c>
      <c r="O135" s="65">
        <f>'IS (Bull-Case)'!O135-'IS (Base-Case)'!O135</f>
        <v>0</v>
      </c>
      <c r="P135" s="121">
        <f>'IS (Bull-Case)'!P135-'IS (Base-Case)'!P135</f>
        <v>0</v>
      </c>
      <c r="Q135" s="65">
        <f>'IS (Bull-Case)'!Q135-'IS (Base-Case)'!Q135</f>
        <v>0</v>
      </c>
      <c r="R135" s="66">
        <f>'IS (Bull-Case)'!R135-'IS (Base-Case)'!R135</f>
        <v>0</v>
      </c>
      <c r="S135" s="65">
        <f>'IS (Bull-Case)'!S135-'IS (Base-Case)'!S135</f>
        <v>0</v>
      </c>
      <c r="T135" s="65">
        <f>'IS (Bull-Case)'!T135-'IS (Base-Case)'!T135</f>
        <v>0</v>
      </c>
      <c r="U135" s="121">
        <f>'IS (Bull-Case)'!U135-'IS (Base-Case)'!U135</f>
        <v>0</v>
      </c>
      <c r="V135" s="65">
        <f>'IS (Bull-Case)'!V135-'IS (Base-Case)'!V135</f>
        <v>0</v>
      </c>
      <c r="W135" s="66">
        <f>'IS (Bull-Case)'!W135-'IS (Base-Case)'!W135</f>
        <v>0</v>
      </c>
      <c r="X135" s="65">
        <f>'IS (Bull-Case)'!X135-'IS (Base-Case)'!X135</f>
        <v>0</v>
      </c>
      <c r="Y135" s="65">
        <f>'IS (Bull-Case)'!Y135-'IS (Base-Case)'!Y135</f>
        <v>0</v>
      </c>
      <c r="Z135" s="121">
        <f>'IS (Bull-Case)'!Z135-'IS (Base-Case)'!Z135</f>
        <v>0</v>
      </c>
      <c r="AA135" s="65">
        <f>'IS (Bull-Case)'!AA135-'IS (Base-Case)'!AA135</f>
        <v>0</v>
      </c>
      <c r="AB135" s="66">
        <f>'IS (Bull-Case)'!AB135-'IS (Base-Case)'!AB135</f>
        <v>0</v>
      </c>
      <c r="AC135" s="65">
        <f>'IS (Bull-Case)'!AC135-'IS (Base-Case)'!AC135</f>
        <v>0</v>
      </c>
      <c r="AD135" s="65">
        <f>'IS (Bull-Case)'!AD135-'IS (Base-Case)'!AD135</f>
        <v>0</v>
      </c>
      <c r="AE135" s="121">
        <f>'IS (Bull-Case)'!AE135-'IS (Base-Case)'!AE135</f>
        <v>0</v>
      </c>
      <c r="AF135" s="65">
        <f>'IS (Bull-Case)'!AF135-'IS (Base-Case)'!AF135</f>
        <v>0</v>
      </c>
      <c r="AG135" s="66">
        <f>'IS (Bull-Case)'!AG135-'IS (Base-Case)'!AG135</f>
        <v>0</v>
      </c>
      <c r="AH135" s="65">
        <f>'IS (Bull-Case)'!AH135-'IS (Base-Case)'!AH135</f>
        <v>0</v>
      </c>
      <c r="AI135" s="65">
        <f>'IS (Bull-Case)'!AI135-'IS (Base-Case)'!AI135</f>
        <v>0</v>
      </c>
      <c r="AJ135" s="121">
        <f>'IS (Bull-Case)'!AJ135-'IS (Base-Case)'!AJ135</f>
        <v>0</v>
      </c>
      <c r="AK135" s="65">
        <f>'IS (Bull-Case)'!AK135-'IS (Base-Case)'!AK135</f>
        <v>0</v>
      </c>
      <c r="AL135" s="66">
        <f>'IS (Bull-Case)'!AL135-'IS (Base-Case)'!AL135</f>
        <v>0</v>
      </c>
      <c r="AM135" s="65">
        <f>'IS (Bull-Case)'!AM135-'IS (Base-Case)'!AM135</f>
        <v>0</v>
      </c>
      <c r="AN135" s="65">
        <f>'IS (Bull-Case)'!AN135-'IS (Base-Case)'!AN135</f>
        <v>0</v>
      </c>
      <c r="AO135" s="121">
        <f>'IS (Bull-Case)'!AO135-'IS (Base-Case)'!AO135</f>
        <v>0</v>
      </c>
      <c r="AP135" s="65">
        <f>'IS (Bull-Case)'!AP135-'IS (Base-Case)'!AP135</f>
        <v>0</v>
      </c>
      <c r="AQ135" s="66">
        <f>'IS (Bull-Case)'!AQ135-'IS (Base-Case)'!AQ135</f>
        <v>0</v>
      </c>
      <c r="AR135" s="65">
        <f>'IS (Bull-Case)'!AR135-'IS (Base-Case)'!AR135</f>
        <v>0</v>
      </c>
      <c r="AS135" s="65">
        <f>'IS (Bull-Case)'!AS135-'IS (Base-Case)'!AS135</f>
        <v>0</v>
      </c>
      <c r="AT135" s="121">
        <f>'IS (Bull-Case)'!AT135-'IS (Base-Case)'!AT135</f>
        <v>0</v>
      </c>
      <c r="AU135" s="65">
        <f>'IS (Bull-Case)'!AU135-'IS (Base-Case)'!AU135</f>
        <v>0</v>
      </c>
      <c r="AV135" s="66">
        <f>'IS (Bull-Case)'!AV135-'IS (Base-Case)'!AV135</f>
        <v>0</v>
      </c>
    </row>
    <row r="136" spans="2:48" s="77" customFormat="1" ht="15.6" customHeight="1" outlineLevel="1" x14ac:dyDescent="0.3">
      <c r="B136" s="64" t="s">
        <v>36</v>
      </c>
      <c r="C136" s="78"/>
      <c r="D136" s="65">
        <f>'IS (Bull-Case)'!D136-'IS (Base-Case)'!D136</f>
        <v>0</v>
      </c>
      <c r="E136" s="65">
        <f>'IS (Bull-Case)'!E136-'IS (Base-Case)'!E136</f>
        <v>0</v>
      </c>
      <c r="F136" s="121">
        <f>'IS (Bull-Case)'!F136-'IS (Base-Case)'!F136</f>
        <v>0</v>
      </c>
      <c r="G136" s="65">
        <f>'IS (Bull-Case)'!G136-'IS (Base-Case)'!G136</f>
        <v>0</v>
      </c>
      <c r="H136" s="66">
        <f>'IS (Bull-Case)'!H136-'IS (Base-Case)'!H136</f>
        <v>0</v>
      </c>
      <c r="I136" s="65">
        <f>'IS (Bull-Case)'!I136-'IS (Base-Case)'!I136</f>
        <v>0</v>
      </c>
      <c r="J136" s="65">
        <f>'IS (Bull-Case)'!J136-'IS (Base-Case)'!J136</f>
        <v>0</v>
      </c>
      <c r="K136" s="121">
        <f>'IS (Bull-Case)'!K136-'IS (Base-Case)'!K136</f>
        <v>0</v>
      </c>
      <c r="L136" s="65">
        <f>'IS (Bull-Case)'!L136-'IS (Base-Case)'!L136</f>
        <v>0</v>
      </c>
      <c r="M136" s="66">
        <f>'IS (Bull-Case)'!M136-'IS (Base-Case)'!M136</f>
        <v>0</v>
      </c>
      <c r="N136" s="65">
        <f>'IS (Bull-Case)'!N136-'IS (Base-Case)'!N136</f>
        <v>0</v>
      </c>
      <c r="O136" s="65">
        <f>'IS (Bull-Case)'!O136-'IS (Base-Case)'!O136</f>
        <v>0</v>
      </c>
      <c r="P136" s="121">
        <f>'IS (Bull-Case)'!P136-'IS (Base-Case)'!P136</f>
        <v>0</v>
      </c>
      <c r="Q136" s="65">
        <f>'IS (Bull-Case)'!Q136-'IS (Base-Case)'!Q136</f>
        <v>0</v>
      </c>
      <c r="R136" s="66">
        <f>'IS (Bull-Case)'!R136-'IS (Base-Case)'!R136</f>
        <v>0</v>
      </c>
      <c r="S136" s="65">
        <f>'IS (Bull-Case)'!S136-'IS (Base-Case)'!S136</f>
        <v>0</v>
      </c>
      <c r="T136" s="65">
        <f>'IS (Bull-Case)'!T136-'IS (Base-Case)'!T136</f>
        <v>0</v>
      </c>
      <c r="U136" s="121">
        <f>'IS (Bull-Case)'!U136-'IS (Base-Case)'!U136</f>
        <v>0</v>
      </c>
      <c r="V136" s="65">
        <f>'IS (Bull-Case)'!V136-'IS (Base-Case)'!V136</f>
        <v>0</v>
      </c>
      <c r="W136" s="66">
        <f>'IS (Bull-Case)'!W136-'IS (Base-Case)'!W136</f>
        <v>0</v>
      </c>
      <c r="X136" s="65">
        <f>'IS (Bull-Case)'!X136-'IS (Base-Case)'!X136</f>
        <v>0</v>
      </c>
      <c r="Y136" s="65">
        <f>'IS (Bull-Case)'!Y136-'IS (Base-Case)'!Y136</f>
        <v>0</v>
      </c>
      <c r="Z136" s="121">
        <f>'IS (Bull-Case)'!Z136-'IS (Base-Case)'!Z136</f>
        <v>0</v>
      </c>
      <c r="AA136" s="65">
        <f>'IS (Bull-Case)'!AA136-'IS (Base-Case)'!AA136</f>
        <v>0</v>
      </c>
      <c r="AB136" s="66">
        <f>'IS (Bull-Case)'!AB136-'IS (Base-Case)'!AB136</f>
        <v>0</v>
      </c>
      <c r="AC136" s="65">
        <f>'IS (Bull-Case)'!AC136-'IS (Base-Case)'!AC136</f>
        <v>0</v>
      </c>
      <c r="AD136" s="65">
        <f>'IS (Bull-Case)'!AD136-'IS (Base-Case)'!AD136</f>
        <v>0</v>
      </c>
      <c r="AE136" s="121">
        <f>'IS (Bull-Case)'!AE136-'IS (Base-Case)'!AE136</f>
        <v>0</v>
      </c>
      <c r="AF136" s="65">
        <f>'IS (Bull-Case)'!AF136-'IS (Base-Case)'!AF136</f>
        <v>0</v>
      </c>
      <c r="AG136" s="66">
        <f>'IS (Bull-Case)'!AG136-'IS (Base-Case)'!AG136</f>
        <v>0</v>
      </c>
      <c r="AH136" s="65">
        <f>'IS (Bull-Case)'!AH136-'IS (Base-Case)'!AH136</f>
        <v>0</v>
      </c>
      <c r="AI136" s="65">
        <f>'IS (Bull-Case)'!AI136-'IS (Base-Case)'!AI136</f>
        <v>0</v>
      </c>
      <c r="AJ136" s="121">
        <f>'IS (Bull-Case)'!AJ136-'IS (Base-Case)'!AJ136</f>
        <v>0</v>
      </c>
      <c r="AK136" s="65">
        <f>'IS (Bull-Case)'!AK136-'IS (Base-Case)'!AK136</f>
        <v>0</v>
      </c>
      <c r="AL136" s="66">
        <f>'IS (Bull-Case)'!AL136-'IS (Base-Case)'!AL136</f>
        <v>0</v>
      </c>
      <c r="AM136" s="65">
        <f>'IS (Bull-Case)'!AM136-'IS (Base-Case)'!AM136</f>
        <v>0</v>
      </c>
      <c r="AN136" s="65">
        <f>'IS (Bull-Case)'!AN136-'IS (Base-Case)'!AN136</f>
        <v>0</v>
      </c>
      <c r="AO136" s="121">
        <f>'IS (Bull-Case)'!AO136-'IS (Base-Case)'!AO136</f>
        <v>0</v>
      </c>
      <c r="AP136" s="65">
        <f>'IS (Bull-Case)'!AP136-'IS (Base-Case)'!AP136</f>
        <v>0</v>
      </c>
      <c r="AQ136" s="66">
        <f>'IS (Bull-Case)'!AQ136-'IS (Base-Case)'!AQ136</f>
        <v>0</v>
      </c>
      <c r="AR136" s="65">
        <f>'IS (Bull-Case)'!AR136-'IS (Base-Case)'!AR136</f>
        <v>0</v>
      </c>
      <c r="AS136" s="65">
        <f>'IS (Bull-Case)'!AS136-'IS (Base-Case)'!AS136</f>
        <v>0</v>
      </c>
      <c r="AT136" s="121">
        <f>'IS (Bull-Case)'!AT136-'IS (Base-Case)'!AT136</f>
        <v>0</v>
      </c>
      <c r="AU136" s="65">
        <f>'IS (Bull-Case)'!AU136-'IS (Base-Case)'!AU136</f>
        <v>0</v>
      </c>
      <c r="AV136" s="66">
        <f>'IS (Bull-Case)'!AV136-'IS (Base-Case)'!AV136</f>
        <v>0</v>
      </c>
    </row>
    <row r="137" spans="2:48" s="77" customFormat="1" ht="15.6" customHeight="1" outlineLevel="1" x14ac:dyDescent="0.3">
      <c r="B137" s="64" t="s">
        <v>62</v>
      </c>
      <c r="C137" s="78"/>
      <c r="D137" s="65">
        <f>'IS (Bull-Case)'!D137-'IS (Base-Case)'!D137</f>
        <v>0</v>
      </c>
      <c r="E137" s="65">
        <f>'IS (Bull-Case)'!E137-'IS (Base-Case)'!E137</f>
        <v>0</v>
      </c>
      <c r="F137" s="121">
        <f>'IS (Bull-Case)'!F137-'IS (Base-Case)'!F137</f>
        <v>0</v>
      </c>
      <c r="G137" s="65">
        <f>'IS (Bull-Case)'!G137-'IS (Base-Case)'!G137</f>
        <v>0</v>
      </c>
      <c r="H137" s="66">
        <f>'IS (Bull-Case)'!H137-'IS (Base-Case)'!H137</f>
        <v>0</v>
      </c>
      <c r="I137" s="65">
        <f>'IS (Bull-Case)'!I137-'IS (Base-Case)'!I137</f>
        <v>0</v>
      </c>
      <c r="J137" s="65">
        <f>'IS (Bull-Case)'!J137-'IS (Base-Case)'!J137</f>
        <v>0</v>
      </c>
      <c r="K137" s="121">
        <f>'IS (Bull-Case)'!K137-'IS (Base-Case)'!K137</f>
        <v>0</v>
      </c>
      <c r="L137" s="65">
        <f>'IS (Bull-Case)'!L137-'IS (Base-Case)'!L137</f>
        <v>0</v>
      </c>
      <c r="M137" s="66">
        <f>'IS (Bull-Case)'!M137-'IS (Base-Case)'!M137</f>
        <v>0</v>
      </c>
      <c r="N137" s="65">
        <f>'IS (Bull-Case)'!N137-'IS (Base-Case)'!N137</f>
        <v>0</v>
      </c>
      <c r="O137" s="65">
        <f>'IS (Bull-Case)'!O137-'IS (Base-Case)'!O137</f>
        <v>0</v>
      </c>
      <c r="P137" s="121">
        <f>'IS (Bull-Case)'!P137-'IS (Base-Case)'!P137</f>
        <v>0</v>
      </c>
      <c r="Q137" s="65">
        <f>'IS (Bull-Case)'!Q137-'IS (Base-Case)'!Q137</f>
        <v>0</v>
      </c>
      <c r="R137" s="66">
        <f>'IS (Bull-Case)'!R137-'IS (Base-Case)'!R137</f>
        <v>0</v>
      </c>
      <c r="S137" s="65">
        <f>'IS (Bull-Case)'!S137-'IS (Base-Case)'!S137</f>
        <v>0</v>
      </c>
      <c r="T137" s="65">
        <f>'IS (Bull-Case)'!T137-'IS (Base-Case)'!T137</f>
        <v>0</v>
      </c>
      <c r="U137" s="121">
        <f>'IS (Bull-Case)'!U137-'IS (Base-Case)'!U137</f>
        <v>0</v>
      </c>
      <c r="V137" s="65">
        <f>'IS (Bull-Case)'!V137-'IS (Base-Case)'!V137</f>
        <v>0</v>
      </c>
      <c r="W137" s="66">
        <f>'IS (Bull-Case)'!W137-'IS (Base-Case)'!W137</f>
        <v>0</v>
      </c>
      <c r="X137" s="65">
        <f>'IS (Bull-Case)'!X137-'IS (Base-Case)'!X137</f>
        <v>2.5011104298755527E-12</v>
      </c>
      <c r="Y137" s="65">
        <f>'IS (Bull-Case)'!Y137-'IS (Base-Case)'!Y137</f>
        <v>0</v>
      </c>
      <c r="Z137" s="121">
        <f>'IS (Bull-Case)'!Z137-'IS (Base-Case)'!Z137</f>
        <v>1.8189894035458565E-12</v>
      </c>
      <c r="AA137" s="65">
        <f>'IS (Bull-Case)'!AA137-'IS (Base-Case)'!AA137</f>
        <v>0</v>
      </c>
      <c r="AB137" s="66">
        <f>'IS (Bull-Case)'!AB137-'IS (Base-Case)'!AB137</f>
        <v>0</v>
      </c>
      <c r="AC137" s="65">
        <f>'IS (Bull-Case)'!AC137-'IS (Base-Case)'!AC137</f>
        <v>-2.2737367544323206E-13</v>
      </c>
      <c r="AD137" s="65">
        <f>'IS (Bull-Case)'!AD137-'IS (Base-Case)'!AD137</f>
        <v>0</v>
      </c>
      <c r="AE137" s="121">
        <f>'IS (Bull-Case)'!AE137-'IS (Base-Case)'!AE137</f>
        <v>-2.0463630789890885E-12</v>
      </c>
      <c r="AF137" s="65">
        <f>'IS (Bull-Case)'!AF137-'IS (Base-Case)'!AF137</f>
        <v>2.2737367544323206E-12</v>
      </c>
      <c r="AG137" s="66">
        <f>'IS (Bull-Case)'!AG137-'IS (Base-Case)'!AG137</f>
        <v>0</v>
      </c>
      <c r="AH137" s="65">
        <f>'IS (Bull-Case)'!AH137-'IS (Base-Case)'!AH137</f>
        <v>2.0463630789890885E-12</v>
      </c>
      <c r="AI137" s="65">
        <f>'IS (Bull-Case)'!AI137-'IS (Base-Case)'!AI137</f>
        <v>0</v>
      </c>
      <c r="AJ137" s="121">
        <f>'IS (Bull-Case)'!AJ137-'IS (Base-Case)'!AJ137</f>
        <v>0</v>
      </c>
      <c r="AK137" s="65">
        <f>'IS (Bull-Case)'!AK137-'IS (Base-Case)'!AK137</f>
        <v>0</v>
      </c>
      <c r="AL137" s="66">
        <f>'IS (Bull-Case)'!AL137-'IS (Base-Case)'!AL137</f>
        <v>0</v>
      </c>
      <c r="AM137" s="65">
        <f>'IS (Bull-Case)'!AM137-'IS (Base-Case)'!AM137</f>
        <v>-2.9558577807620168E-12</v>
      </c>
      <c r="AN137" s="65">
        <f>'IS (Bull-Case)'!AN137-'IS (Base-Case)'!AN137</f>
        <v>0</v>
      </c>
      <c r="AO137" s="121">
        <f>'IS (Bull-Case)'!AO137-'IS (Base-Case)'!AO137</f>
        <v>0</v>
      </c>
      <c r="AP137" s="65">
        <f>'IS (Bull-Case)'!AP137-'IS (Base-Case)'!AP137</f>
        <v>-2.9558577807620168E-12</v>
      </c>
      <c r="AQ137" s="66">
        <f>'IS (Bull-Case)'!AQ137-'IS (Base-Case)'!AQ137</f>
        <v>0</v>
      </c>
      <c r="AR137" s="65">
        <f>'IS (Bull-Case)'!AR137-'IS (Base-Case)'!AR137</f>
        <v>0</v>
      </c>
      <c r="AS137" s="65">
        <f>'IS (Bull-Case)'!AS137-'IS (Base-Case)'!AS137</f>
        <v>0</v>
      </c>
      <c r="AT137" s="121">
        <f>'IS (Bull-Case)'!AT137-'IS (Base-Case)'!AT137</f>
        <v>0</v>
      </c>
      <c r="AU137" s="65">
        <f>'IS (Bull-Case)'!AU137-'IS (Base-Case)'!AU137</f>
        <v>0</v>
      </c>
      <c r="AV137" s="66">
        <f>'IS (Bull-Case)'!AV137-'IS (Base-Case)'!AV137</f>
        <v>0</v>
      </c>
    </row>
    <row r="138" spans="2:48" ht="15" customHeight="1" x14ac:dyDescent="0.45">
      <c r="B138" s="433" t="s">
        <v>9</v>
      </c>
      <c r="C138" s="434"/>
      <c r="D138" s="14" t="s">
        <v>19</v>
      </c>
      <c r="E138" s="14" t="s">
        <v>81</v>
      </c>
      <c r="F138" s="14" t="s">
        <v>85</v>
      </c>
      <c r="G138" s="14" t="s">
        <v>95</v>
      </c>
      <c r="H138" s="40" t="s">
        <v>96</v>
      </c>
      <c r="I138" s="14" t="s">
        <v>97</v>
      </c>
      <c r="J138" s="14" t="s">
        <v>98</v>
      </c>
      <c r="K138" s="14" t="s">
        <v>99</v>
      </c>
      <c r="L138" s="14" t="s">
        <v>142</v>
      </c>
      <c r="M138" s="40" t="s">
        <v>143</v>
      </c>
      <c r="N138" s="14" t="s">
        <v>149</v>
      </c>
      <c r="O138" s="14" t="s">
        <v>157</v>
      </c>
      <c r="P138" s="14" t="s">
        <v>159</v>
      </c>
      <c r="Q138" s="14" t="s">
        <v>172</v>
      </c>
      <c r="R138" s="40" t="s">
        <v>173</v>
      </c>
      <c r="S138" s="14" t="s">
        <v>188</v>
      </c>
      <c r="T138" s="14" t="s">
        <v>189</v>
      </c>
      <c r="U138" s="14" t="s">
        <v>204</v>
      </c>
      <c r="V138" s="12" t="s">
        <v>25</v>
      </c>
      <c r="W138" s="42" t="s">
        <v>26</v>
      </c>
      <c r="X138" s="12" t="s">
        <v>27</v>
      </c>
      <c r="Y138" s="12" t="s">
        <v>28</v>
      </c>
      <c r="Z138" s="12" t="s">
        <v>29</v>
      </c>
      <c r="AA138" s="12" t="s">
        <v>30</v>
      </c>
      <c r="AB138" s="42" t="s">
        <v>31</v>
      </c>
      <c r="AC138" s="12" t="s">
        <v>90</v>
      </c>
      <c r="AD138" s="12" t="s">
        <v>91</v>
      </c>
      <c r="AE138" s="12" t="s">
        <v>92</v>
      </c>
      <c r="AF138" s="12" t="s">
        <v>93</v>
      </c>
      <c r="AG138" s="42" t="s">
        <v>94</v>
      </c>
      <c r="AH138" s="12" t="s">
        <v>109</v>
      </c>
      <c r="AI138" s="12" t="s">
        <v>110</v>
      </c>
      <c r="AJ138" s="12" t="s">
        <v>111</v>
      </c>
      <c r="AK138" s="12" t="s">
        <v>112</v>
      </c>
      <c r="AL138" s="42" t="s">
        <v>113</v>
      </c>
      <c r="AM138" s="12" t="s">
        <v>164</v>
      </c>
      <c r="AN138" s="12" t="s">
        <v>165</v>
      </c>
      <c r="AO138" s="12" t="s">
        <v>166</v>
      </c>
      <c r="AP138" s="12" t="s">
        <v>167</v>
      </c>
      <c r="AQ138" s="42" t="s">
        <v>168</v>
      </c>
      <c r="AR138" s="12" t="s">
        <v>195</v>
      </c>
      <c r="AS138" s="12" t="s">
        <v>196</v>
      </c>
      <c r="AT138" s="12" t="s">
        <v>197</v>
      </c>
      <c r="AU138" s="12" t="s">
        <v>198</v>
      </c>
      <c r="AV138" s="42" t="s">
        <v>199</v>
      </c>
    </row>
    <row r="139" spans="2:48" s="23" customFormat="1" outlineLevel="1" x14ac:dyDescent="0.3">
      <c r="B139" s="200" t="s">
        <v>169</v>
      </c>
      <c r="C139" s="201"/>
      <c r="D139" s="27">
        <f>'IS (Bull-Case)'!D139-'IS (Base-Case)'!D139</f>
        <v>0</v>
      </c>
      <c r="E139" s="27">
        <f>'IS (Bull-Case)'!E139-'IS (Base-Case)'!E139</f>
        <v>0</v>
      </c>
      <c r="F139" s="27">
        <f>'IS (Bull-Case)'!F139-'IS (Base-Case)'!F139</f>
        <v>0</v>
      </c>
      <c r="G139" s="27">
        <f>'IS (Bull-Case)'!G139-'IS (Base-Case)'!G139</f>
        <v>0</v>
      </c>
      <c r="H139" s="29">
        <f>'IS (Bull-Case)'!H139-'IS (Base-Case)'!H139</f>
        <v>0</v>
      </c>
      <c r="I139" s="27">
        <f>'IS (Bull-Case)'!I139-'IS (Base-Case)'!I139</f>
        <v>0</v>
      </c>
      <c r="J139" s="27">
        <f>'IS (Bull-Case)'!J139-'IS (Base-Case)'!J139</f>
        <v>0</v>
      </c>
      <c r="K139" s="27">
        <f>'IS (Bull-Case)'!K139-'IS (Base-Case)'!K139</f>
        <v>0</v>
      </c>
      <c r="L139" s="113">
        <f>'IS (Bull-Case)'!L139-'IS (Base-Case)'!L139</f>
        <v>0</v>
      </c>
      <c r="M139" s="137">
        <f>'IS (Bull-Case)'!M139-'IS (Base-Case)'!M139</f>
        <v>0</v>
      </c>
      <c r="N139" s="113">
        <f>'IS (Bull-Case)'!N139-'IS (Base-Case)'!N139</f>
        <v>0</v>
      </c>
      <c r="O139" s="113">
        <f>'IS (Bull-Case)'!O139-'IS (Base-Case)'!O139</f>
        <v>0</v>
      </c>
      <c r="P139" s="113">
        <f>'IS (Bull-Case)'!P139-'IS (Base-Case)'!P139</f>
        <v>0</v>
      </c>
      <c r="Q139" s="113">
        <f>'IS (Bull-Case)'!Q139-'IS (Base-Case)'!Q139</f>
        <v>0</v>
      </c>
      <c r="R139" s="29">
        <f>'IS (Bull-Case)'!R139-'IS (Base-Case)'!R139</f>
        <v>0</v>
      </c>
      <c r="S139" s="113">
        <f>'IS (Bull-Case)'!S139-'IS (Base-Case)'!S139</f>
        <v>0</v>
      </c>
      <c r="T139" s="113">
        <f>'IS (Bull-Case)'!T139-'IS (Base-Case)'!T139</f>
        <v>0</v>
      </c>
      <c r="U139" s="113">
        <f>'IS (Bull-Case)'!U139-'IS (Base-Case)'!U139</f>
        <v>0</v>
      </c>
      <c r="V139" s="113">
        <f>'IS (Bull-Case)'!V139-'IS (Base-Case)'!V139</f>
        <v>0</v>
      </c>
      <c r="W139" s="137">
        <f>'IS (Bull-Case)'!W139-'IS (Base-Case)'!W139</f>
        <v>0</v>
      </c>
      <c r="X139" s="113">
        <f>'IS (Bull-Case)'!X139-'IS (Base-Case)'!X139</f>
        <v>0</v>
      </c>
      <c r="Y139" s="113">
        <f>'IS (Bull-Case)'!Y139-'IS (Base-Case)'!Y139</f>
        <v>0</v>
      </c>
      <c r="Z139" s="113">
        <f>'IS (Bull-Case)'!Z139-'IS (Base-Case)'!Z139</f>
        <v>0</v>
      </c>
      <c r="AA139" s="113">
        <f>'IS (Bull-Case)'!AA139-'IS (Base-Case)'!AA139</f>
        <v>0</v>
      </c>
      <c r="AB139" s="137">
        <f>'IS (Bull-Case)'!AB139-'IS (Base-Case)'!AB139</f>
        <v>0</v>
      </c>
      <c r="AC139" s="113">
        <f>'IS (Bull-Case)'!AC139-'IS (Base-Case)'!AC139</f>
        <v>0</v>
      </c>
      <c r="AD139" s="113">
        <f>'IS (Bull-Case)'!AD139-'IS (Base-Case)'!AD139</f>
        <v>0</v>
      </c>
      <c r="AE139" s="113">
        <f>'IS (Bull-Case)'!AE139-'IS (Base-Case)'!AE139</f>
        <v>0</v>
      </c>
      <c r="AF139" s="113">
        <f>'IS (Bull-Case)'!AF139-'IS (Base-Case)'!AF139</f>
        <v>0</v>
      </c>
      <c r="AG139" s="137">
        <f>'IS (Bull-Case)'!AG139-'IS (Base-Case)'!AG139</f>
        <v>0</v>
      </c>
      <c r="AH139" s="113">
        <f>'IS (Bull-Case)'!AH139-'IS (Base-Case)'!AH139</f>
        <v>0</v>
      </c>
      <c r="AI139" s="113">
        <f>'IS (Bull-Case)'!AI139-'IS (Base-Case)'!AI139</f>
        <v>0</v>
      </c>
      <c r="AJ139" s="113">
        <f>'IS (Bull-Case)'!AJ139-'IS (Base-Case)'!AJ139</f>
        <v>0</v>
      </c>
      <c r="AK139" s="113">
        <f>'IS (Bull-Case)'!AK139-'IS (Base-Case)'!AK139</f>
        <v>0</v>
      </c>
      <c r="AL139" s="406">
        <f>'IS (Bull-Case)'!AL139-'IS (Base-Case)'!AL139</f>
        <v>0</v>
      </c>
      <c r="AM139" s="113">
        <f>'IS (Bull-Case)'!AM139-'IS (Base-Case)'!AM139</f>
        <v>0</v>
      </c>
      <c r="AN139" s="113">
        <f>'IS (Bull-Case)'!AN139-'IS (Base-Case)'!AN139</f>
        <v>0</v>
      </c>
      <c r="AO139" s="113">
        <f>'IS (Bull-Case)'!AO139-'IS (Base-Case)'!AO139</f>
        <v>0</v>
      </c>
      <c r="AP139" s="113">
        <f>'IS (Bull-Case)'!AP139-'IS (Base-Case)'!AP139</f>
        <v>0</v>
      </c>
      <c r="AQ139" s="137">
        <f>'IS (Bull-Case)'!AQ139-'IS (Base-Case)'!AQ139</f>
        <v>0</v>
      </c>
      <c r="AR139" s="113">
        <f>'IS (Bull-Case)'!AR139-'IS (Base-Case)'!AR139</f>
        <v>0</v>
      </c>
      <c r="AS139" s="113">
        <f>'IS (Bull-Case)'!AS139-'IS (Base-Case)'!AS139</f>
        <v>0</v>
      </c>
      <c r="AT139" s="113">
        <f>'IS (Bull-Case)'!AT139-'IS (Base-Case)'!AT139</f>
        <v>0</v>
      </c>
      <c r="AU139" s="113">
        <f>'IS (Bull-Case)'!AU139-'IS (Base-Case)'!AU139</f>
        <v>0</v>
      </c>
      <c r="AV139" s="137">
        <f>'IS (Bull-Case)'!AV139-'IS (Base-Case)'!AV139</f>
        <v>0</v>
      </c>
    </row>
    <row r="140" spans="2:48" s="23" customFormat="1" outlineLevel="1" x14ac:dyDescent="0.3">
      <c r="B140" s="435" t="s">
        <v>17</v>
      </c>
      <c r="C140" s="436"/>
      <c r="D140" s="30">
        <f>'IS (Bull-Case)'!D140-'IS (Base-Case)'!D140</f>
        <v>0</v>
      </c>
      <c r="E140" s="30">
        <f>'IS (Bull-Case)'!E140-'IS (Base-Case)'!E140</f>
        <v>0</v>
      </c>
      <c r="F140" s="30">
        <f>'IS (Bull-Case)'!F140-'IS (Base-Case)'!F140</f>
        <v>0</v>
      </c>
      <c r="G140" s="30">
        <f>'IS (Bull-Case)'!G140-'IS (Base-Case)'!G140</f>
        <v>0</v>
      </c>
      <c r="H140" s="137">
        <f>'IS (Bull-Case)'!H140-'IS (Base-Case)'!H140</f>
        <v>0</v>
      </c>
      <c r="I140" s="30">
        <f>'IS (Bull-Case)'!I140-'IS (Base-Case)'!I140</f>
        <v>0</v>
      </c>
      <c r="J140" s="30">
        <f>'IS (Bull-Case)'!J140-'IS (Base-Case)'!J140</f>
        <v>0</v>
      </c>
      <c r="K140" s="30">
        <f>'IS (Bull-Case)'!K140-'IS (Base-Case)'!K140</f>
        <v>0</v>
      </c>
      <c r="L140" s="113">
        <f>'IS (Bull-Case)'!L140-'IS (Base-Case)'!L140</f>
        <v>0</v>
      </c>
      <c r="M140" s="128">
        <f>'IS (Bull-Case)'!M140-'IS (Base-Case)'!M140</f>
        <v>0</v>
      </c>
      <c r="N140" s="30">
        <f>'IS (Bull-Case)'!N140-'IS (Base-Case)'!N140</f>
        <v>0</v>
      </c>
      <c r="O140" s="30">
        <f>'IS (Bull-Case)'!O140-'IS (Base-Case)'!O140</f>
        <v>0</v>
      </c>
      <c r="P140" s="30">
        <f>'IS (Bull-Case)'!P140-'IS (Base-Case)'!P140</f>
        <v>0</v>
      </c>
      <c r="Q140" s="30">
        <f>'IS (Bull-Case)'!Q140-'IS (Base-Case)'!Q140</f>
        <v>0</v>
      </c>
      <c r="R140" s="128">
        <f>'IS (Bull-Case)'!R140-'IS (Base-Case)'!R140</f>
        <v>0</v>
      </c>
      <c r="S140" s="30">
        <f>'IS (Bull-Case)'!S140-'IS (Base-Case)'!S140</f>
        <v>0</v>
      </c>
      <c r="T140" s="30">
        <f>'IS (Bull-Case)'!T140-'IS (Base-Case)'!T140</f>
        <v>0</v>
      </c>
      <c r="U140" s="30">
        <f>'IS (Bull-Case)'!U140-'IS (Base-Case)'!U140</f>
        <v>0</v>
      </c>
      <c r="V140" s="30">
        <f>'IS (Bull-Case)'!V140-'IS (Base-Case)'!V140</f>
        <v>0</v>
      </c>
      <c r="W140" s="28">
        <f>'IS (Bull-Case)'!W140-'IS (Base-Case)'!W140</f>
        <v>0</v>
      </c>
      <c r="X140" s="30">
        <f>'IS (Bull-Case)'!X140-'IS (Base-Case)'!X140</f>
        <v>1.0979071806080487E-2</v>
      </c>
      <c r="Y140" s="30">
        <f>'IS (Bull-Case)'!Y140-'IS (Base-Case)'!Y140</f>
        <v>1.1017251492709157E-2</v>
      </c>
      <c r="Z140" s="30">
        <f>'IS (Bull-Case)'!Z140-'IS (Base-Case)'!Z140</f>
        <v>1.1478373018381838E-2</v>
      </c>
      <c r="AA140" s="30">
        <f>'IS (Bull-Case)'!AA140-'IS (Base-Case)'!AA140</f>
        <v>1.1048331437916836E-2</v>
      </c>
      <c r="AB140" s="137">
        <f>'IS (Bull-Case)'!AB140-'IS (Base-Case)'!AB140</f>
        <v>1.1132692494705054E-2</v>
      </c>
      <c r="AC140" s="30">
        <f>'IS (Bull-Case)'!AC140-'IS (Base-Case)'!AC140</f>
        <v>1.0794376956532625E-2</v>
      </c>
      <c r="AD140" s="30">
        <f>'IS (Bull-Case)'!AD140-'IS (Base-Case)'!AD140</f>
        <v>1.0899203136744084E-2</v>
      </c>
      <c r="AE140" s="30">
        <f>'IS (Bull-Case)'!AE140-'IS (Base-Case)'!AE140</f>
        <v>1.0843015863421401E-2</v>
      </c>
      <c r="AF140" s="30">
        <f>'IS (Bull-Case)'!AF140-'IS (Base-Case)'!AF140</f>
        <v>1.0371332625197072E-2</v>
      </c>
      <c r="AG140" s="137">
        <f>'IS (Bull-Case)'!AG140-'IS (Base-Case)'!AG140</f>
        <v>1.072085871073658E-2</v>
      </c>
      <c r="AH140" s="30">
        <f>'IS (Bull-Case)'!AH140-'IS (Base-Case)'!AH140</f>
        <v>1.0639057370416483E-2</v>
      </c>
      <c r="AI140" s="30">
        <f>'IS (Bull-Case)'!AI140-'IS (Base-Case)'!AI140</f>
        <v>1.0777086578471096E-2</v>
      </c>
      <c r="AJ140" s="30">
        <f>'IS (Bull-Case)'!AJ140-'IS (Base-Case)'!AJ140</f>
        <v>1.0732078663953315E-2</v>
      </c>
      <c r="AK140" s="30">
        <f>'IS (Bull-Case)'!AK140-'IS (Base-Case)'!AK140</f>
        <v>1.0245355524035826E-2</v>
      </c>
      <c r="AL140" s="406">
        <f>'IS (Bull-Case)'!AL140-'IS (Base-Case)'!AL140</f>
        <v>1.0591374678196264E-2</v>
      </c>
      <c r="AM140" s="30">
        <f>'IS (Bull-Case)'!AM140-'IS (Base-Case)'!AM140</f>
        <v>-4.2062762463612735E-4</v>
      </c>
      <c r="AN140" s="30">
        <f>'IS (Bull-Case)'!AN140-'IS (Base-Case)'!AN140</f>
        <v>-2.7060460220029725E-4</v>
      </c>
      <c r="AO140" s="30">
        <f>'IS (Bull-Case)'!AO140-'IS (Base-Case)'!AO140</f>
        <v>-1.630696690790856E-4</v>
      </c>
      <c r="AP140" s="30">
        <f>'IS (Bull-Case)'!AP140-'IS (Base-Case)'!AP140</f>
        <v>-7.0650723619891664E-5</v>
      </c>
      <c r="AQ140" s="28">
        <f>'IS (Bull-Case)'!AQ140-'IS (Base-Case)'!AQ140</f>
        <v>-2.2614079917882002E-4</v>
      </c>
      <c r="AR140" s="30">
        <f>'IS (Bull-Case)'!AR140-'IS (Base-Case)'!AR140</f>
        <v>-3.745523668818862E-5</v>
      </c>
      <c r="AS140" s="30">
        <f>'IS (Bull-Case)'!AS140-'IS (Base-Case)'!AS140</f>
        <v>-2.5897278857600625E-5</v>
      </c>
      <c r="AT140" s="30">
        <f>'IS (Bull-Case)'!AT140-'IS (Base-Case)'!AT140</f>
        <v>-2.4722410138844353E-5</v>
      </c>
      <c r="AU140" s="30">
        <f>'IS (Bull-Case)'!AU140-'IS (Base-Case)'!AU140</f>
        <v>-3.7370330703057064E-5</v>
      </c>
      <c r="AV140" s="28">
        <f>'IS (Bull-Case)'!AV140-'IS (Base-Case)'!AV140</f>
        <v>-3.1529704910049361E-5</v>
      </c>
    </row>
    <row r="141" spans="2:48" s="23" customFormat="1" outlineLevel="1" x14ac:dyDescent="0.3">
      <c r="B141" s="435" t="s">
        <v>4</v>
      </c>
      <c r="C141" s="436"/>
      <c r="D141" s="27">
        <f>'IS (Bull-Case)'!D141-'IS (Base-Case)'!D141</f>
        <v>0</v>
      </c>
      <c r="E141" s="27">
        <f>'IS (Bull-Case)'!E141-'IS (Base-Case)'!E141</f>
        <v>0</v>
      </c>
      <c r="F141" s="27">
        <f>'IS (Bull-Case)'!F141-'IS (Base-Case)'!F141</f>
        <v>0</v>
      </c>
      <c r="G141" s="27">
        <f>'IS (Bull-Case)'!G141-'IS (Base-Case)'!G141</f>
        <v>0</v>
      </c>
      <c r="H141" s="29">
        <f>'IS (Bull-Case)'!H141-'IS (Base-Case)'!H141</f>
        <v>0</v>
      </c>
      <c r="I141" s="27">
        <f>'IS (Bull-Case)'!I141-'IS (Base-Case)'!I141</f>
        <v>0</v>
      </c>
      <c r="J141" s="27">
        <f>'IS (Bull-Case)'!J141-'IS (Base-Case)'!J141</f>
        <v>0</v>
      </c>
      <c r="K141" s="27">
        <f>'IS (Bull-Case)'!K141-'IS (Base-Case)'!K141</f>
        <v>0</v>
      </c>
      <c r="L141" s="113">
        <f>'IS (Bull-Case)'!L141-'IS (Base-Case)'!L141</f>
        <v>0</v>
      </c>
      <c r="M141" s="137">
        <f>'IS (Bull-Case)'!M141-'IS (Base-Case)'!M141</f>
        <v>0</v>
      </c>
      <c r="N141" s="27">
        <f>'IS (Bull-Case)'!N141-'IS (Base-Case)'!N141</f>
        <v>0</v>
      </c>
      <c r="O141" s="27">
        <f>'IS (Bull-Case)'!O141-'IS (Base-Case)'!O141</f>
        <v>0</v>
      </c>
      <c r="P141" s="27">
        <f>'IS (Bull-Case)'!P141-'IS (Base-Case)'!P141</f>
        <v>0</v>
      </c>
      <c r="Q141" s="27">
        <f>'IS (Bull-Case)'!Q141-'IS (Base-Case)'!Q141</f>
        <v>0</v>
      </c>
      <c r="R141" s="137">
        <f>'IS (Bull-Case)'!R141-'IS (Base-Case)'!R141</f>
        <v>0</v>
      </c>
      <c r="S141" s="27">
        <f>'IS (Bull-Case)'!S141-'IS (Base-Case)'!S141</f>
        <v>0</v>
      </c>
      <c r="T141" s="27">
        <f>'IS (Bull-Case)'!T141-'IS (Base-Case)'!T141</f>
        <v>0</v>
      </c>
      <c r="U141" s="27">
        <f>'IS (Bull-Case)'!U141-'IS (Base-Case)'!U141</f>
        <v>0</v>
      </c>
      <c r="V141" s="27">
        <f>'IS (Bull-Case)'!V141-'IS (Base-Case)'!V141</f>
        <v>0</v>
      </c>
      <c r="W141" s="137">
        <f>'IS (Bull-Case)'!W141-'IS (Base-Case)'!W141</f>
        <v>0</v>
      </c>
      <c r="X141" s="27">
        <f>'IS (Bull-Case)'!X141-'IS (Base-Case)'!X141</f>
        <v>7.4263486655032351E-4</v>
      </c>
      <c r="Y141" s="27">
        <f>'IS (Bull-Case)'!Y141-'IS (Base-Case)'!Y141</f>
        <v>6.8500667457879749E-4</v>
      </c>
      <c r="Z141" s="27">
        <f>'IS (Bull-Case)'!Z141-'IS (Base-Case)'!Z141</f>
        <v>8.6975519403240109E-4</v>
      </c>
      <c r="AA141" s="27">
        <f>'IS (Bull-Case)'!AA141-'IS (Base-Case)'!AA141</f>
        <v>7.4423039086468634E-4</v>
      </c>
      <c r="AB141" s="137">
        <f>'IS (Bull-Case)'!AB141-'IS (Base-Case)'!AB141</f>
        <v>7.6084168172696476E-4</v>
      </c>
      <c r="AC141" s="27">
        <f>'IS (Bull-Case)'!AC141-'IS (Base-Case)'!AC141</f>
        <v>2.7098894916361138E-3</v>
      </c>
      <c r="AD141" s="27">
        <f>'IS (Bull-Case)'!AD141-'IS (Base-Case)'!AD141</f>
        <v>2.5583445931084969E-3</v>
      </c>
      <c r="AE141" s="27">
        <f>'IS (Bull-Case)'!AE141-'IS (Base-Case)'!AE141</f>
        <v>3.037359492236491E-3</v>
      </c>
      <c r="AF141" s="27">
        <f>'IS (Bull-Case)'!AF141-'IS (Base-Case)'!AF141</f>
        <v>2.6027780881848761E-3</v>
      </c>
      <c r="AG141" s="137">
        <f>'IS (Bull-Case)'!AG141-'IS (Base-Case)'!AG141</f>
        <v>2.7302153178976052E-3</v>
      </c>
      <c r="AH141" s="27">
        <f>'IS (Bull-Case)'!AH141-'IS (Base-Case)'!AH141</f>
        <v>4.5842041004163225E-3</v>
      </c>
      <c r="AI141" s="27">
        <f>'IS (Bull-Case)'!AI141-'IS (Base-Case)'!AI141</f>
        <v>4.3502220508851996E-3</v>
      </c>
      <c r="AJ141" s="27">
        <f>'IS (Bull-Case)'!AJ141-'IS (Base-Case)'!AJ141</f>
        <v>4.8687075961207082E-3</v>
      </c>
      <c r="AK141" s="27">
        <f>'IS (Bull-Case)'!AK141-'IS (Base-Case)'!AK141</f>
        <v>4.3695274684592278E-3</v>
      </c>
      <c r="AL141" s="29">
        <f>'IS (Bull-Case)'!AL141-'IS (Base-Case)'!AL141</f>
        <v>4.5463313445747444E-3</v>
      </c>
      <c r="AM141" s="27">
        <f>'IS (Bull-Case)'!AM141-'IS (Base-Case)'!AM141</f>
        <v>4.4529112066998833E-3</v>
      </c>
      <c r="AN141" s="27">
        <f>'IS (Bull-Case)'!AN141-'IS (Base-Case)'!AN141</f>
        <v>4.2347237728969367E-3</v>
      </c>
      <c r="AO141" s="27">
        <f>'IS (Bull-Case)'!AO141-'IS (Base-Case)'!AO141</f>
        <v>4.7961892477272339E-3</v>
      </c>
      <c r="AP141" s="27">
        <f>'IS (Bull-Case)'!AP141-'IS (Base-Case)'!AP141</f>
        <v>4.3135398890880305E-3</v>
      </c>
      <c r="AQ141" s="29">
        <f>'IS (Bull-Case)'!AQ141-'IS (Base-Case)'!AQ141</f>
        <v>4.4536766781602677E-3</v>
      </c>
      <c r="AR141" s="27">
        <f>'IS (Bull-Case)'!AR141-'IS (Base-Case)'!AR141</f>
        <v>4.4360699829673056E-3</v>
      </c>
      <c r="AS141" s="27">
        <f>'IS (Bull-Case)'!AS141-'IS (Base-Case)'!AS141</f>
        <v>4.2165214379328297E-3</v>
      </c>
      <c r="AT141" s="27">
        <f>'IS (Bull-Case)'!AT141-'IS (Base-Case)'!AT141</f>
        <v>4.7842122464064329E-3</v>
      </c>
      <c r="AU141" s="27">
        <f>'IS (Bull-Case)'!AU141-'IS (Base-Case)'!AU141</f>
        <v>4.2959595636052894E-3</v>
      </c>
      <c r="AV141" s="29">
        <f>'IS (Bull-Case)'!AV141-'IS (Base-Case)'!AV141</f>
        <v>4.4375175258156707E-3</v>
      </c>
    </row>
    <row r="142" spans="2:48" s="23" customFormat="1" outlineLevel="1" x14ac:dyDescent="0.3">
      <c r="B142" s="435" t="s">
        <v>77</v>
      </c>
      <c r="C142" s="436"/>
      <c r="D142" s="27">
        <f>'IS (Bull-Case)'!D142-'IS (Base-Case)'!D142</f>
        <v>0</v>
      </c>
      <c r="E142" s="27">
        <f>'IS (Bull-Case)'!E142-'IS (Base-Case)'!E142</f>
        <v>0</v>
      </c>
      <c r="F142" s="27">
        <f>'IS (Bull-Case)'!F142-'IS (Base-Case)'!F142</f>
        <v>0</v>
      </c>
      <c r="G142" s="27">
        <f>'IS (Bull-Case)'!G142-'IS (Base-Case)'!G142</f>
        <v>0</v>
      </c>
      <c r="H142" s="29">
        <f>'IS (Bull-Case)'!H142-'IS (Base-Case)'!H142</f>
        <v>0</v>
      </c>
      <c r="I142" s="27">
        <f>'IS (Bull-Case)'!I142-'IS (Base-Case)'!I142</f>
        <v>0</v>
      </c>
      <c r="J142" s="27">
        <f>'IS (Bull-Case)'!J142-'IS (Base-Case)'!J142</f>
        <v>0</v>
      </c>
      <c r="K142" s="27">
        <f>'IS (Bull-Case)'!K142-'IS (Base-Case)'!K142</f>
        <v>0</v>
      </c>
      <c r="L142" s="113">
        <f>'IS (Bull-Case)'!L142-'IS (Base-Case)'!L142</f>
        <v>0</v>
      </c>
      <c r="M142" s="137">
        <f>'IS (Bull-Case)'!M142-'IS (Base-Case)'!M142</f>
        <v>0</v>
      </c>
      <c r="N142" s="27">
        <f>'IS (Bull-Case)'!N142-'IS (Base-Case)'!N142</f>
        <v>0</v>
      </c>
      <c r="O142" s="27">
        <f>'IS (Bull-Case)'!O142-'IS (Base-Case)'!O142</f>
        <v>0</v>
      </c>
      <c r="P142" s="27">
        <f>'IS (Bull-Case)'!P142-'IS (Base-Case)'!P142</f>
        <v>0</v>
      </c>
      <c r="Q142" s="27">
        <f>'IS (Bull-Case)'!Q142-'IS (Base-Case)'!Q142</f>
        <v>0</v>
      </c>
      <c r="R142" s="137">
        <f>'IS (Bull-Case)'!R142-'IS (Base-Case)'!R142</f>
        <v>0</v>
      </c>
      <c r="S142" s="27">
        <f>'IS (Bull-Case)'!S142-'IS (Base-Case)'!S142</f>
        <v>0</v>
      </c>
      <c r="T142" s="27">
        <f>'IS (Bull-Case)'!T142-'IS (Base-Case)'!T142</f>
        <v>0</v>
      </c>
      <c r="U142" s="27">
        <f>'IS (Bull-Case)'!U142-'IS (Base-Case)'!U142</f>
        <v>0</v>
      </c>
      <c r="V142" s="421">
        <f>'IS (Bull-Case)'!V142-'IS (Base-Case)'!V142</f>
        <v>0</v>
      </c>
      <c r="W142" s="137">
        <f>'IS (Bull-Case)'!W142-'IS (Base-Case)'!W142</f>
        <v>0</v>
      </c>
      <c r="X142" s="27">
        <f>'IS (Bull-Case)'!X142-'IS (Base-Case)'!X142</f>
        <v>6.0989113306100795E-4</v>
      </c>
      <c r="Y142" s="27">
        <f>'IS (Bull-Case)'!Y142-'IS (Base-Case)'!Y142</f>
        <v>6.0933499232224131E-4</v>
      </c>
      <c r="Z142" s="27">
        <f>'IS (Bull-Case)'!Z142-'IS (Base-Case)'!Z142</f>
        <v>7.9959065698587128E-4</v>
      </c>
      <c r="AA142" s="27">
        <f>'IS (Bull-Case)'!AA142-'IS (Base-Case)'!AA142</f>
        <v>6.7853526007152776E-4</v>
      </c>
      <c r="AB142" s="137">
        <f>'IS (Bull-Case)'!AB142-'IS (Base-Case)'!AB142</f>
        <v>6.7559700507963116E-4</v>
      </c>
      <c r="AC142" s="27">
        <f>'IS (Bull-Case)'!AC142-'IS (Base-Case)'!AC142</f>
        <v>2.5816016309153367E-3</v>
      </c>
      <c r="AD142" s="27">
        <f>'IS (Bull-Case)'!AD142-'IS (Base-Case)'!AD142</f>
        <v>2.4216180901725781E-3</v>
      </c>
      <c r="AE142" s="27">
        <f>'IS (Bull-Case)'!AE142-'IS (Base-Case)'!AE142</f>
        <v>2.9120197280218252E-3</v>
      </c>
      <c r="AF142" s="27">
        <f>'IS (Bull-Case)'!AF142-'IS (Base-Case)'!AF142</f>
        <v>2.4859637370008847E-3</v>
      </c>
      <c r="AG142" s="137">
        <f>'IS (Bull-Case)'!AG142-'IS (Base-Case)'!AG142</f>
        <v>2.6037828331836044E-3</v>
      </c>
      <c r="AH142" s="27">
        <f>'IS (Bull-Case)'!AH142-'IS (Base-Case)'!AH142</f>
        <v>4.414561163506886E-3</v>
      </c>
      <c r="AI142" s="27">
        <f>'IS (Bull-Case)'!AI142-'IS (Base-Case)'!AI142</f>
        <v>4.1689463879552024E-3</v>
      </c>
      <c r="AJ142" s="27">
        <f>'IS (Bull-Case)'!AJ142-'IS (Base-Case)'!AJ142</f>
        <v>4.7031466579464665E-3</v>
      </c>
      <c r="AK142" s="27">
        <f>'IS (Bull-Case)'!AK142-'IS (Base-Case)'!AK142</f>
        <v>4.2156617432308197E-3</v>
      </c>
      <c r="AL142" s="406">
        <f>'IS (Bull-Case)'!AL142-'IS (Base-Case)'!AL142</f>
        <v>4.3792594453586353E-3</v>
      </c>
      <c r="AM142" s="27">
        <f>'IS (Bull-Case)'!AM142-'IS (Base-Case)'!AM142</f>
        <v>4.3006958998919043E-3</v>
      </c>
      <c r="AN142" s="27">
        <f>'IS (Bull-Case)'!AN142-'IS (Base-Case)'!AN142</f>
        <v>4.0704736335298863E-3</v>
      </c>
      <c r="AO142" s="27">
        <f>'IS (Bull-Case)'!AO142-'IS (Base-Case)'!AO142</f>
        <v>4.6451310402205181E-3</v>
      </c>
      <c r="AP142" s="27">
        <f>'IS (Bull-Case)'!AP142-'IS (Base-Case)'!AP142</f>
        <v>4.1723458291319515E-3</v>
      </c>
      <c r="AQ142" s="29">
        <f>'IS (Bull-Case)'!AQ142-'IS (Base-Case)'!AQ142</f>
        <v>4.3018889208916722E-3</v>
      </c>
      <c r="AR142" s="27">
        <f>'IS (Bull-Case)'!AR142-'IS (Base-Case)'!AR142</f>
        <v>4.2933223726096537E-3</v>
      </c>
      <c r="AS142" s="27">
        <f>'IS (Bull-Case)'!AS142-'IS (Base-Case)'!AS142</f>
        <v>4.0623172114192529E-3</v>
      </c>
      <c r="AT142" s="27">
        <f>'IS (Bull-Case)'!AT142-'IS (Base-Case)'!AT142</f>
        <v>4.642357772730199E-3</v>
      </c>
      <c r="AU142" s="27">
        <f>'IS (Bull-Case)'!AU142-'IS (Base-Case)'!AU142</f>
        <v>4.1634653853631909E-3</v>
      </c>
      <c r="AV142" s="29">
        <f>'IS (Bull-Case)'!AV142-'IS (Base-Case)'!AV142</f>
        <v>4.2950614118906494E-3</v>
      </c>
    </row>
    <row r="143" spans="2:48" s="23" customFormat="1" outlineLevel="1" x14ac:dyDescent="0.3">
      <c r="B143" s="435" t="s">
        <v>2</v>
      </c>
      <c r="C143" s="436"/>
      <c r="D143" s="27">
        <f>'IS (Bull-Case)'!D143-'IS (Base-Case)'!D143</f>
        <v>0</v>
      </c>
      <c r="E143" s="27">
        <f>'IS (Bull-Case)'!E143-'IS (Base-Case)'!E143</f>
        <v>0</v>
      </c>
      <c r="F143" s="27">
        <f>'IS (Bull-Case)'!F143-'IS (Base-Case)'!F143</f>
        <v>0</v>
      </c>
      <c r="G143" s="118">
        <f>'IS (Bull-Case)'!G143-'IS (Base-Case)'!G143</f>
        <v>0</v>
      </c>
      <c r="H143" s="137">
        <f>'IS (Bull-Case)'!H143-'IS (Base-Case)'!H143</f>
        <v>0</v>
      </c>
      <c r="I143" s="118">
        <f>'IS (Bull-Case)'!I143-'IS (Base-Case)'!I143</f>
        <v>0</v>
      </c>
      <c r="J143" s="118">
        <f>'IS (Bull-Case)'!J143-'IS (Base-Case)'!J143</f>
        <v>0</v>
      </c>
      <c r="K143" s="118">
        <f>'IS (Bull-Case)'!K143-'IS (Base-Case)'!K143</f>
        <v>0</v>
      </c>
      <c r="L143" s="118">
        <f>'IS (Bull-Case)'!L143-'IS (Base-Case)'!L143</f>
        <v>0</v>
      </c>
      <c r="M143" s="137">
        <f>'IS (Bull-Case)'!M143-'IS (Base-Case)'!M143</f>
        <v>0</v>
      </c>
      <c r="N143" s="118">
        <f>'IS (Bull-Case)'!N143-'IS (Base-Case)'!N143</f>
        <v>0</v>
      </c>
      <c r="O143" s="118">
        <f>'IS (Bull-Case)'!O143-'IS (Base-Case)'!O143</f>
        <v>0</v>
      </c>
      <c r="P143" s="118">
        <f>'IS (Bull-Case)'!P143-'IS (Base-Case)'!P143</f>
        <v>0</v>
      </c>
      <c r="Q143" s="118">
        <f>'IS (Bull-Case)'!Q143-'IS (Base-Case)'!Q143</f>
        <v>0</v>
      </c>
      <c r="R143" s="137">
        <f>'IS (Bull-Case)'!R143-'IS (Base-Case)'!R143</f>
        <v>0</v>
      </c>
      <c r="S143" s="118">
        <f>'IS (Bull-Case)'!S143-'IS (Base-Case)'!S143</f>
        <v>0</v>
      </c>
      <c r="T143" s="118">
        <f>'IS (Bull-Case)'!T143-'IS (Base-Case)'!T143</f>
        <v>0</v>
      </c>
      <c r="U143" s="118">
        <f>'IS (Bull-Case)'!U143-'IS (Base-Case)'!U143</f>
        <v>0</v>
      </c>
      <c r="V143" s="35">
        <f>'IS (Bull-Case)'!V143-'IS (Base-Case)'!V143</f>
        <v>0</v>
      </c>
      <c r="W143" s="137">
        <f>'IS (Bull-Case)'!W143-'IS (Base-Case)'!W143</f>
        <v>0</v>
      </c>
      <c r="X143" s="35">
        <f>'IS (Bull-Case)'!X143-'IS (Base-Case)'!X143</f>
        <v>0</v>
      </c>
      <c r="Y143" s="35">
        <f>'IS (Bull-Case)'!Y143-'IS (Base-Case)'!Y143</f>
        <v>0</v>
      </c>
      <c r="Z143" s="35">
        <f>'IS (Bull-Case)'!Z143-'IS (Base-Case)'!Z143</f>
        <v>0</v>
      </c>
      <c r="AA143" s="35">
        <f>'IS (Bull-Case)'!AA143-'IS (Base-Case)'!AA143</f>
        <v>0</v>
      </c>
      <c r="AB143" s="137">
        <f>'IS (Bull-Case)'!AB143-'IS (Base-Case)'!AB143</f>
        <v>0</v>
      </c>
      <c r="AC143" s="34">
        <f>'IS (Bull-Case)'!AC143-'IS (Base-Case)'!AC143</f>
        <v>0</v>
      </c>
      <c r="AD143" s="34">
        <f>'IS (Bull-Case)'!AD143-'IS (Base-Case)'!AD143</f>
        <v>0</v>
      </c>
      <c r="AE143" s="34">
        <f>'IS (Bull-Case)'!AE143-'IS (Base-Case)'!AE143</f>
        <v>0</v>
      </c>
      <c r="AF143" s="34">
        <f>'IS (Bull-Case)'!AF143-'IS (Base-Case)'!AF143</f>
        <v>0</v>
      </c>
      <c r="AG143" s="29">
        <f>'IS (Bull-Case)'!AG143-'IS (Base-Case)'!AG143</f>
        <v>2.4980018054066022E-16</v>
      </c>
      <c r="AH143" s="34">
        <f>'IS (Bull-Case)'!AH143-'IS (Base-Case)'!AH143</f>
        <v>0</v>
      </c>
      <c r="AI143" s="34">
        <f>'IS (Bull-Case)'!AI143-'IS (Base-Case)'!AI143</f>
        <v>0</v>
      </c>
      <c r="AJ143" s="34">
        <f>'IS (Bull-Case)'!AJ143-'IS (Base-Case)'!AJ143</f>
        <v>0</v>
      </c>
      <c r="AK143" s="34">
        <f>'IS (Bull-Case)'!AK143-'IS (Base-Case)'!AK143</f>
        <v>0</v>
      </c>
      <c r="AL143" s="29">
        <f>'IS (Bull-Case)'!AL143-'IS (Base-Case)'!AL143</f>
        <v>0</v>
      </c>
      <c r="AM143" s="34">
        <f>'IS (Bull-Case)'!AM143-'IS (Base-Case)'!AM143</f>
        <v>0</v>
      </c>
      <c r="AN143" s="34">
        <f>'IS (Bull-Case)'!AN143-'IS (Base-Case)'!AN143</f>
        <v>0</v>
      </c>
      <c r="AO143" s="34">
        <f>'IS (Bull-Case)'!AO143-'IS (Base-Case)'!AO143</f>
        <v>0</v>
      </c>
      <c r="AP143" s="34">
        <f>'IS (Bull-Case)'!AP143-'IS (Base-Case)'!AP143</f>
        <v>0</v>
      </c>
      <c r="AQ143" s="29">
        <f>'IS (Bull-Case)'!AQ143-'IS (Base-Case)'!AQ143</f>
        <v>4.9960036108132044E-16</v>
      </c>
      <c r="AR143" s="34">
        <f>'IS (Bull-Case)'!AR143-'IS (Base-Case)'!AR143</f>
        <v>0</v>
      </c>
      <c r="AS143" s="34">
        <f>'IS (Bull-Case)'!AS143-'IS (Base-Case)'!AS143</f>
        <v>0</v>
      </c>
      <c r="AT143" s="34">
        <f>'IS (Bull-Case)'!AT143-'IS (Base-Case)'!AT143</f>
        <v>0</v>
      </c>
      <c r="AU143" s="34">
        <f>'IS (Bull-Case)'!AU143-'IS (Base-Case)'!AU143</f>
        <v>0</v>
      </c>
      <c r="AV143" s="29">
        <f>'IS (Bull-Case)'!AV143-'IS (Base-Case)'!AV143</f>
        <v>0</v>
      </c>
    </row>
    <row r="144" spans="2:48" s="23" customFormat="1" outlineLevel="1" x14ac:dyDescent="0.3">
      <c r="B144" s="435" t="s">
        <v>78</v>
      </c>
      <c r="C144" s="436"/>
      <c r="D144" s="27">
        <f>'IS (Bull-Case)'!D144-'IS (Base-Case)'!D144</f>
        <v>0</v>
      </c>
      <c r="E144" s="27">
        <f>'IS (Bull-Case)'!E144-'IS (Base-Case)'!E144</f>
        <v>0</v>
      </c>
      <c r="F144" s="27">
        <f>'IS (Bull-Case)'!F144-'IS (Base-Case)'!F144</f>
        <v>0</v>
      </c>
      <c r="G144" s="27">
        <f>'IS (Bull-Case)'!G144-'IS (Base-Case)'!G144</f>
        <v>0</v>
      </c>
      <c r="H144" s="29">
        <f>'IS (Bull-Case)'!H144-'IS (Base-Case)'!H144</f>
        <v>0</v>
      </c>
      <c r="I144" s="27">
        <f>'IS (Bull-Case)'!I144-'IS (Base-Case)'!I144</f>
        <v>0</v>
      </c>
      <c r="J144" s="27">
        <f>'IS (Bull-Case)'!J144-'IS (Base-Case)'!J144</f>
        <v>0</v>
      </c>
      <c r="K144" s="27">
        <f>'IS (Bull-Case)'!K144-'IS (Base-Case)'!K144</f>
        <v>0</v>
      </c>
      <c r="L144" s="27">
        <f>'IS (Bull-Case)'!L144-'IS (Base-Case)'!L144</f>
        <v>0</v>
      </c>
      <c r="M144" s="29">
        <f>'IS (Bull-Case)'!M144-'IS (Base-Case)'!M144</f>
        <v>0</v>
      </c>
      <c r="N144" s="27">
        <f>'IS (Bull-Case)'!N144-'IS (Base-Case)'!N144</f>
        <v>0</v>
      </c>
      <c r="O144" s="27">
        <f>'IS (Bull-Case)'!O144-'IS (Base-Case)'!O144</f>
        <v>0</v>
      </c>
      <c r="P144" s="27">
        <f>'IS (Bull-Case)'!P144-'IS (Base-Case)'!P144</f>
        <v>0</v>
      </c>
      <c r="Q144" s="27">
        <f>'IS (Bull-Case)'!Q144-'IS (Base-Case)'!Q144</f>
        <v>0</v>
      </c>
      <c r="R144" s="137">
        <f>'IS (Bull-Case)'!R144-'IS (Base-Case)'!R144</f>
        <v>0</v>
      </c>
      <c r="S144" s="27">
        <f>'IS (Bull-Case)'!S144-'IS (Base-Case)'!S144</f>
        <v>0</v>
      </c>
      <c r="T144" s="27">
        <f>'IS (Bull-Case)'!T144-'IS (Base-Case)'!T144</f>
        <v>0</v>
      </c>
      <c r="U144" s="27">
        <f>'IS (Bull-Case)'!U144-'IS (Base-Case)'!U144</f>
        <v>0</v>
      </c>
      <c r="V144" s="35">
        <f>'IS (Bull-Case)'!V144-'IS (Base-Case)'!V144</f>
        <v>0</v>
      </c>
      <c r="W144" s="137">
        <f>'IS (Bull-Case)'!W144-'IS (Base-Case)'!W144</f>
        <v>0</v>
      </c>
      <c r="X144" s="35">
        <f>'IS (Bull-Case)'!X144-'IS (Base-Case)'!X144</f>
        <v>0</v>
      </c>
      <c r="Y144" s="35">
        <f>'IS (Bull-Case)'!Y144-'IS (Base-Case)'!Y144</f>
        <v>0</v>
      </c>
      <c r="Z144" s="35">
        <f>'IS (Bull-Case)'!Z144-'IS (Base-Case)'!Z144</f>
        <v>0</v>
      </c>
      <c r="AA144" s="35">
        <f>'IS (Bull-Case)'!AA144-'IS (Base-Case)'!AA144</f>
        <v>0</v>
      </c>
      <c r="AB144" s="137">
        <f>'IS (Bull-Case)'!AB144-'IS (Base-Case)'!AB144</f>
        <v>0</v>
      </c>
      <c r="AC144" s="35">
        <f>'IS (Bull-Case)'!AC144-'IS (Base-Case)'!AC144</f>
        <v>0</v>
      </c>
      <c r="AD144" s="35">
        <f>'IS (Bull-Case)'!AD144-'IS (Base-Case)'!AD144</f>
        <v>0</v>
      </c>
      <c r="AE144" s="35">
        <f>'IS (Bull-Case)'!AE144-'IS (Base-Case)'!AE144</f>
        <v>0</v>
      </c>
      <c r="AF144" s="35">
        <f>'IS (Bull-Case)'!AF144-'IS (Base-Case)'!AF144</f>
        <v>0</v>
      </c>
      <c r="AG144" s="29">
        <f>'IS (Bull-Case)'!AG144-'IS (Base-Case)'!AG144</f>
        <v>0</v>
      </c>
      <c r="AH144" s="35">
        <f>'IS (Bull-Case)'!AH144-'IS (Base-Case)'!AH144</f>
        <v>0</v>
      </c>
      <c r="AI144" s="35">
        <f>'IS (Bull-Case)'!AI144-'IS (Base-Case)'!AI144</f>
        <v>0</v>
      </c>
      <c r="AJ144" s="35">
        <f>'IS (Bull-Case)'!AJ144-'IS (Base-Case)'!AJ144</f>
        <v>0</v>
      </c>
      <c r="AK144" s="35">
        <f>'IS (Bull-Case)'!AK144-'IS (Base-Case)'!AK144</f>
        <v>0</v>
      </c>
      <c r="AL144" s="29">
        <f>'IS (Bull-Case)'!AL144-'IS (Base-Case)'!AL144</f>
        <v>0</v>
      </c>
      <c r="AM144" s="35">
        <f>'IS (Bull-Case)'!AM144-'IS (Base-Case)'!AM144</f>
        <v>0</v>
      </c>
      <c r="AN144" s="35">
        <f>'IS (Bull-Case)'!AN144-'IS (Base-Case)'!AN144</f>
        <v>0</v>
      </c>
      <c r="AO144" s="35">
        <f>'IS (Bull-Case)'!AO144-'IS (Base-Case)'!AO144</f>
        <v>0</v>
      </c>
      <c r="AP144" s="35">
        <f>'IS (Bull-Case)'!AP144-'IS (Base-Case)'!AP144</f>
        <v>0</v>
      </c>
      <c r="AQ144" s="29">
        <f>'IS (Bull-Case)'!AQ144-'IS (Base-Case)'!AQ144</f>
        <v>0</v>
      </c>
      <c r="AR144" s="35">
        <f>'IS (Bull-Case)'!AR144-'IS (Base-Case)'!AR144</f>
        <v>0</v>
      </c>
      <c r="AS144" s="35">
        <f>'IS (Bull-Case)'!AS144-'IS (Base-Case)'!AS144</f>
        <v>0</v>
      </c>
      <c r="AT144" s="35">
        <f>'IS (Bull-Case)'!AT144-'IS (Base-Case)'!AT144</f>
        <v>0</v>
      </c>
      <c r="AU144" s="35">
        <f>'IS (Bull-Case)'!AU144-'IS (Base-Case)'!AU144</f>
        <v>0</v>
      </c>
      <c r="AV144" s="29">
        <f>'IS (Bull-Case)'!AV144-'IS (Base-Case)'!AV144</f>
        <v>0</v>
      </c>
    </row>
    <row r="145" spans="2:48" s="23" customFormat="1" outlineLevel="1" x14ac:dyDescent="0.3">
      <c r="B145" s="435" t="s">
        <v>79</v>
      </c>
      <c r="C145" s="436"/>
      <c r="D145" s="27">
        <f>'IS (Bull-Case)'!D145-'IS (Base-Case)'!D145</f>
        <v>0</v>
      </c>
      <c r="E145" s="215">
        <f>'IS (Bull-Case)'!E145-'IS (Base-Case)'!E145</f>
        <v>0</v>
      </c>
      <c r="F145" s="215">
        <f>'IS (Bull-Case)'!F145-'IS (Base-Case)'!F145</f>
        <v>0</v>
      </c>
      <c r="G145" s="215">
        <f>'IS (Bull-Case)'!G145-'IS (Base-Case)'!G145</f>
        <v>0</v>
      </c>
      <c r="H145" s="29">
        <f>'IS (Bull-Case)'!H145-'IS (Base-Case)'!H145</f>
        <v>0</v>
      </c>
      <c r="I145" s="215">
        <f>'IS (Bull-Case)'!I145-'IS (Base-Case)'!I145</f>
        <v>0</v>
      </c>
      <c r="J145" s="215">
        <f>'IS (Bull-Case)'!J145-'IS (Base-Case)'!J145</f>
        <v>0</v>
      </c>
      <c r="K145" s="215">
        <f>'IS (Bull-Case)'!K145-'IS (Base-Case)'!K145</f>
        <v>0</v>
      </c>
      <c r="L145" s="215">
        <f>'IS (Bull-Case)'!L145-'IS (Base-Case)'!L145</f>
        <v>0</v>
      </c>
      <c r="M145" s="29">
        <f>'IS (Bull-Case)'!M145-'IS (Base-Case)'!M145</f>
        <v>0</v>
      </c>
      <c r="N145" s="215">
        <f>'IS (Bull-Case)'!N145-'IS (Base-Case)'!N145</f>
        <v>0</v>
      </c>
      <c r="O145" s="215">
        <f>'IS (Bull-Case)'!O145-'IS (Base-Case)'!O145</f>
        <v>0</v>
      </c>
      <c r="P145" s="215">
        <f>'IS (Bull-Case)'!P145-'IS (Base-Case)'!P145</f>
        <v>0</v>
      </c>
      <c r="Q145" s="215">
        <f>'IS (Bull-Case)'!Q145-'IS (Base-Case)'!Q145</f>
        <v>0</v>
      </c>
      <c r="R145" s="29">
        <f>'IS (Bull-Case)'!R145-'IS (Base-Case)'!R145</f>
        <v>0</v>
      </c>
      <c r="S145" s="215">
        <f>'IS (Bull-Case)'!S145-'IS (Base-Case)'!S145</f>
        <v>0</v>
      </c>
      <c r="T145" s="215">
        <f>'IS (Bull-Case)'!T145-'IS (Base-Case)'!T145</f>
        <v>0</v>
      </c>
      <c r="U145" s="215">
        <f>'IS (Bull-Case)'!U145-'IS (Base-Case)'!U145</f>
        <v>0</v>
      </c>
      <c r="V145" s="35">
        <f>'IS (Bull-Case)'!V145-'IS (Base-Case)'!V145</f>
        <v>0</v>
      </c>
      <c r="W145" s="137">
        <f>'IS (Bull-Case)'!W145-'IS (Base-Case)'!W145</f>
        <v>0</v>
      </c>
      <c r="X145" s="35">
        <f>'IS (Bull-Case)'!X145-'IS (Base-Case)'!X145</f>
        <v>0</v>
      </c>
      <c r="Y145" s="35">
        <f>'IS (Bull-Case)'!Y145-'IS (Base-Case)'!Y145</f>
        <v>0</v>
      </c>
      <c r="Z145" s="35">
        <f>'IS (Bull-Case)'!Z145-'IS (Base-Case)'!Z145</f>
        <v>0</v>
      </c>
      <c r="AA145" s="35">
        <f>'IS (Bull-Case)'!AA145-'IS (Base-Case)'!AA145</f>
        <v>0</v>
      </c>
      <c r="AB145" s="137">
        <f>'IS (Bull-Case)'!AB145-'IS (Base-Case)'!AB145</f>
        <v>0</v>
      </c>
      <c r="AC145" s="35">
        <f>'IS (Bull-Case)'!AC145-'IS (Base-Case)'!AC145</f>
        <v>0</v>
      </c>
      <c r="AD145" s="35">
        <f>'IS (Bull-Case)'!AD145-'IS (Base-Case)'!AD145</f>
        <v>0</v>
      </c>
      <c r="AE145" s="35">
        <f>'IS (Bull-Case)'!AE145-'IS (Base-Case)'!AE145</f>
        <v>0</v>
      </c>
      <c r="AF145" s="35">
        <f>'IS (Bull-Case)'!AF145-'IS (Base-Case)'!AF145</f>
        <v>0</v>
      </c>
      <c r="AG145" s="29">
        <f>'IS (Bull-Case)'!AG145-'IS (Base-Case)'!AG145</f>
        <v>0</v>
      </c>
      <c r="AH145" s="35">
        <f>'IS (Bull-Case)'!AH145-'IS (Base-Case)'!AH145</f>
        <v>0</v>
      </c>
      <c r="AI145" s="35">
        <f>'IS (Bull-Case)'!AI145-'IS (Base-Case)'!AI145</f>
        <v>0</v>
      </c>
      <c r="AJ145" s="35">
        <f>'IS (Bull-Case)'!AJ145-'IS (Base-Case)'!AJ145</f>
        <v>0</v>
      </c>
      <c r="AK145" s="35">
        <f>'IS (Bull-Case)'!AK145-'IS (Base-Case)'!AK145</f>
        <v>0</v>
      </c>
      <c r="AL145" s="29">
        <f>'IS (Bull-Case)'!AL145-'IS (Base-Case)'!AL145</f>
        <v>0</v>
      </c>
      <c r="AM145" s="35">
        <f>'IS (Bull-Case)'!AM145-'IS (Base-Case)'!AM145</f>
        <v>0</v>
      </c>
      <c r="AN145" s="35">
        <f>'IS (Bull-Case)'!AN145-'IS (Base-Case)'!AN145</f>
        <v>0</v>
      </c>
      <c r="AO145" s="35">
        <f>'IS (Bull-Case)'!AO145-'IS (Base-Case)'!AO145</f>
        <v>0</v>
      </c>
      <c r="AP145" s="35">
        <f>'IS (Bull-Case)'!AP145-'IS (Base-Case)'!AP145</f>
        <v>0</v>
      </c>
      <c r="AQ145" s="29">
        <f>'IS (Bull-Case)'!AQ145-'IS (Base-Case)'!AQ145</f>
        <v>0</v>
      </c>
      <c r="AR145" s="35">
        <f>'IS (Bull-Case)'!AR145-'IS (Base-Case)'!AR145</f>
        <v>0</v>
      </c>
      <c r="AS145" s="35">
        <f>'IS (Bull-Case)'!AS145-'IS (Base-Case)'!AS145</f>
        <v>0</v>
      </c>
      <c r="AT145" s="35">
        <f>'IS (Bull-Case)'!AT145-'IS (Base-Case)'!AT145</f>
        <v>0</v>
      </c>
      <c r="AU145" s="35">
        <f>'IS (Bull-Case)'!AU145-'IS (Base-Case)'!AU145</f>
        <v>0</v>
      </c>
      <c r="AV145" s="29">
        <f>'IS (Bull-Case)'!AV145-'IS (Base-Case)'!AV145</f>
        <v>0</v>
      </c>
    </row>
    <row r="146" spans="2:48" s="23" customFormat="1" outlineLevel="1" x14ac:dyDescent="0.3">
      <c r="B146" s="200" t="s">
        <v>186</v>
      </c>
      <c r="C146" s="201"/>
      <c r="D146" s="113">
        <f>'IS (Bull-Case)'!D146-'IS (Base-Case)'!D146</f>
        <v>0</v>
      </c>
      <c r="E146" s="113">
        <f>'IS (Bull-Case)'!E146-'IS (Base-Case)'!E146</f>
        <v>0</v>
      </c>
      <c r="F146" s="113">
        <f>'IS (Bull-Case)'!F146-'IS (Base-Case)'!F146</f>
        <v>0</v>
      </c>
      <c r="G146" s="113">
        <f>'IS (Bull-Case)'!G146-'IS (Base-Case)'!G146</f>
        <v>0</v>
      </c>
      <c r="H146" s="137">
        <f>'IS (Bull-Case)'!H146-'IS (Base-Case)'!H146</f>
        <v>0</v>
      </c>
      <c r="I146" s="113">
        <f>'IS (Bull-Case)'!I146-'IS (Base-Case)'!I146</f>
        <v>0</v>
      </c>
      <c r="J146" s="113">
        <f>'IS (Bull-Case)'!J146-'IS (Base-Case)'!J146</f>
        <v>0</v>
      </c>
      <c r="K146" s="113">
        <f>'IS (Bull-Case)'!K146-'IS (Base-Case)'!K146</f>
        <v>0</v>
      </c>
      <c r="L146" s="113">
        <f>'IS (Bull-Case)'!L146-'IS (Base-Case)'!L146</f>
        <v>0</v>
      </c>
      <c r="M146" s="137">
        <f>'IS (Bull-Case)'!M146-'IS (Base-Case)'!M146</f>
        <v>0</v>
      </c>
      <c r="N146" s="113">
        <f>'IS (Bull-Case)'!N146-'IS (Base-Case)'!N146</f>
        <v>0</v>
      </c>
      <c r="O146" s="113">
        <f>'IS (Bull-Case)'!O146-'IS (Base-Case)'!O146</f>
        <v>0</v>
      </c>
      <c r="P146" s="113">
        <f>'IS (Bull-Case)'!P146-'IS (Base-Case)'!P146</f>
        <v>0</v>
      </c>
      <c r="Q146" s="113">
        <f>'IS (Bull-Case)'!Q146-'IS (Base-Case)'!Q146</f>
        <v>0</v>
      </c>
      <c r="R146" s="137">
        <f>'IS (Bull-Case)'!R146-'IS (Base-Case)'!R146</f>
        <v>0</v>
      </c>
      <c r="S146" s="113">
        <f>'IS (Bull-Case)'!S146-'IS (Base-Case)'!S146</f>
        <v>0</v>
      </c>
      <c r="T146" s="113">
        <f>'IS (Bull-Case)'!T146-'IS (Base-Case)'!T146</f>
        <v>0</v>
      </c>
      <c r="U146" s="113">
        <f>'IS (Bull-Case)'!U146-'IS (Base-Case)'!U146</f>
        <v>0</v>
      </c>
      <c r="V146" s="113">
        <f>'IS (Bull-Case)'!V146-'IS (Base-Case)'!V146</f>
        <v>0</v>
      </c>
      <c r="W146" s="137">
        <f>'IS (Bull-Case)'!W146-'IS (Base-Case)'!W146</f>
        <v>0</v>
      </c>
      <c r="X146" s="113">
        <f>'IS (Bull-Case)'!X146-'IS (Base-Case)'!X146</f>
        <v>1.7276622092547544E-2</v>
      </c>
      <c r="Y146" s="113">
        <f>'IS (Bull-Case)'!Y146-'IS (Base-Case)'!Y146</f>
        <v>1.888395305406454E-2</v>
      </c>
      <c r="Z146" s="113">
        <f>'IS (Bull-Case)'!Z146-'IS (Base-Case)'!Z146</f>
        <v>1.8639456719048875E-2</v>
      </c>
      <c r="AA146" s="113">
        <f>'IS (Bull-Case)'!AA146-'IS (Base-Case)'!AA146</f>
        <v>2.1745875862336783E-2</v>
      </c>
      <c r="AB146" s="137">
        <f>'IS (Bull-Case)'!AB146-'IS (Base-Case)'!AB146</f>
        <v>1.9102788838307738E-2</v>
      </c>
      <c r="AC146" s="113">
        <f>'IS (Bull-Case)'!AC146-'IS (Base-Case)'!AC146</f>
        <v>3.0449461776429487E-2</v>
      </c>
      <c r="AD146" s="113">
        <f>'IS (Bull-Case)'!AD146-'IS (Base-Case)'!AD146</f>
        <v>2.9238218233673896E-2</v>
      </c>
      <c r="AE146" s="113">
        <f>'IS (Bull-Case)'!AE146-'IS (Base-Case)'!AE146</f>
        <v>2.8473226916115646E-2</v>
      </c>
      <c r="AF146" s="113">
        <f>'IS (Bull-Case)'!AF146-'IS (Base-Case)'!AF146</f>
        <v>2.4791686277306102E-2</v>
      </c>
      <c r="AG146" s="137">
        <f>'IS (Bull-Case)'!AG146-'IS (Base-Case)'!AG146</f>
        <v>2.805341588975474E-2</v>
      </c>
      <c r="AH146" s="113">
        <f>'IS (Bull-Case)'!AH146-'IS (Base-Case)'!AH146</f>
        <v>2.4885314901138766E-2</v>
      </c>
      <c r="AI146" s="113">
        <f>'IS (Bull-Case)'!AI146-'IS (Base-Case)'!AI146</f>
        <v>2.6422730118449866E-2</v>
      </c>
      <c r="AJ146" s="113">
        <f>'IS (Bull-Case)'!AJ146-'IS (Base-Case)'!AJ146</f>
        <v>8.7675967623155326E-3</v>
      </c>
      <c r="AK146" s="113">
        <f>'IS (Bull-Case)'!AK146-'IS (Base-Case)'!AK146</f>
        <v>3.707992195254306E-3</v>
      </c>
      <c r="AL146" s="137">
        <f>'IS (Bull-Case)'!AL146-'IS (Base-Case)'!AL146</f>
        <v>1.610465865528754E-2</v>
      </c>
      <c r="AM146" s="113">
        <f>'IS (Bull-Case)'!AM146-'IS (Base-Case)'!AM146</f>
        <v>-1.4123573534391864E-2</v>
      </c>
      <c r="AN146" s="113">
        <f>'IS (Bull-Case)'!AN146-'IS (Base-Case)'!AN146</f>
        <v>-1.009815548720927E-2</v>
      </c>
      <c r="AO146" s="113">
        <f>'IS (Bull-Case)'!AO146-'IS (Base-Case)'!AO146</f>
        <v>4.4319682259952309E-4</v>
      </c>
      <c r="AP146" s="113">
        <f>'IS (Bull-Case)'!AP146-'IS (Base-Case)'!AP146</f>
        <v>6.4274491775542231E-3</v>
      </c>
      <c r="AQ146" s="137">
        <f>'IS (Bull-Case)'!AQ146-'IS (Base-Case)'!AQ146</f>
        <v>-4.2005678753154196E-3</v>
      </c>
      <c r="AR146" s="113">
        <f>'IS (Bull-Case)'!AR146-'IS (Base-Case)'!AR146</f>
        <v>-1.2669671955629624E-3</v>
      </c>
      <c r="AS146" s="113">
        <f>'IS (Bull-Case)'!AS146-'IS (Base-Case)'!AS146</f>
        <v>-1.6082963767627412E-3</v>
      </c>
      <c r="AT146" s="113">
        <f>'IS (Bull-Case)'!AT146-'IS (Base-Case)'!AT146</f>
        <v>-1.3554056239835077E-3</v>
      </c>
      <c r="AU146" s="113">
        <f>'IS (Bull-Case)'!AU146-'IS (Base-Case)'!AU146</f>
        <v>-1.5549925383615548E-3</v>
      </c>
      <c r="AV146" s="137">
        <f>'IS (Bull-Case)'!AV146-'IS (Base-Case)'!AV146</f>
        <v>-1.4361752123051019E-3</v>
      </c>
    </row>
    <row r="147" spans="2:48" s="23" customFormat="1" outlineLevel="1" x14ac:dyDescent="0.3">
      <c r="B147" s="200" t="s">
        <v>139</v>
      </c>
      <c r="C147" s="201"/>
      <c r="D147" s="27">
        <f>'IS (Bull-Case)'!D147-'IS (Base-Case)'!D147</f>
        <v>0</v>
      </c>
      <c r="E147" s="27">
        <f>'IS (Bull-Case)'!E147-'IS (Base-Case)'!E147</f>
        <v>0</v>
      </c>
      <c r="F147" s="27">
        <f>'IS (Bull-Case)'!F147-'IS (Base-Case)'!F147</f>
        <v>0</v>
      </c>
      <c r="G147" s="27">
        <f>'IS (Bull-Case)'!G147-'IS (Base-Case)'!G147</f>
        <v>0</v>
      </c>
      <c r="H147" s="29">
        <f>'IS (Bull-Case)'!H147-'IS (Base-Case)'!H147</f>
        <v>0</v>
      </c>
      <c r="I147" s="27">
        <f>'IS (Bull-Case)'!I147-'IS (Base-Case)'!I147</f>
        <v>0</v>
      </c>
      <c r="J147" s="27">
        <f>'IS (Bull-Case)'!J147-'IS (Base-Case)'!J147</f>
        <v>0</v>
      </c>
      <c r="K147" s="27">
        <f>'IS (Bull-Case)'!K147-'IS (Base-Case)'!K147</f>
        <v>0</v>
      </c>
      <c r="L147" s="113">
        <f>'IS (Bull-Case)'!L147-'IS (Base-Case)'!L147</f>
        <v>0</v>
      </c>
      <c r="M147" s="137">
        <f>'IS (Bull-Case)'!M147-'IS (Base-Case)'!M147</f>
        <v>0</v>
      </c>
      <c r="N147" s="113">
        <f>'IS (Bull-Case)'!N147-'IS (Base-Case)'!N147</f>
        <v>0</v>
      </c>
      <c r="O147" s="113">
        <f>'IS (Bull-Case)'!O147-'IS (Base-Case)'!O147</f>
        <v>0</v>
      </c>
      <c r="P147" s="113">
        <f>'IS (Bull-Case)'!P147-'IS (Base-Case)'!P147</f>
        <v>0</v>
      </c>
      <c r="Q147" s="113">
        <f>'IS (Bull-Case)'!Q147-'IS (Base-Case)'!Q147</f>
        <v>0</v>
      </c>
      <c r="R147" s="29">
        <f>'IS (Bull-Case)'!R147-'IS (Base-Case)'!R147</f>
        <v>0</v>
      </c>
      <c r="S147" s="113">
        <f>'IS (Bull-Case)'!S147-'IS (Base-Case)'!S147</f>
        <v>0</v>
      </c>
      <c r="T147" s="113">
        <f>'IS (Bull-Case)'!T147-'IS (Base-Case)'!T147</f>
        <v>0</v>
      </c>
      <c r="U147" s="113">
        <f>'IS (Bull-Case)'!U147-'IS (Base-Case)'!U147</f>
        <v>0</v>
      </c>
      <c r="V147" s="113">
        <f>'IS (Bull-Case)'!V147-'IS (Base-Case)'!V147</f>
        <v>0</v>
      </c>
      <c r="W147" s="137">
        <f>'IS (Bull-Case)'!W147-'IS (Base-Case)'!W147</f>
        <v>0</v>
      </c>
      <c r="X147" s="113">
        <f>'IS (Bull-Case)'!X147-'IS (Base-Case)'!X147</f>
        <v>1.6639276027571759E-2</v>
      </c>
      <c r="Y147" s="113">
        <f>'IS (Bull-Case)'!Y147-'IS (Base-Case)'!Y147</f>
        <v>1.8846411070251978E-2</v>
      </c>
      <c r="Z147" s="113">
        <f>'IS (Bull-Case)'!Z147-'IS (Base-Case)'!Z147</f>
        <v>1.7589737268518757E-2</v>
      </c>
      <c r="AA147" s="113">
        <f>'IS (Bull-Case)'!AA147-'IS (Base-Case)'!AA147</f>
        <v>1.9686496932309172E-2</v>
      </c>
      <c r="AB147" s="137">
        <f>'IS (Bull-Case)'!AB147-'IS (Base-Case)'!AB147</f>
        <v>1.814554022009629E-2</v>
      </c>
      <c r="AC147" s="113">
        <f>'IS (Bull-Case)'!AC147-'IS (Base-Case)'!AC147</f>
        <v>2.8864827631496004E-2</v>
      </c>
      <c r="AD147" s="113">
        <f>'IS (Bull-Case)'!AD147-'IS (Base-Case)'!AD147</f>
        <v>2.7811296349821601E-2</v>
      </c>
      <c r="AE147" s="113">
        <f>'IS (Bull-Case)'!AE147-'IS (Base-Case)'!AE147</f>
        <v>2.736540289337519E-2</v>
      </c>
      <c r="AF147" s="113">
        <f>'IS (Bull-Case)'!AF147-'IS (Base-Case)'!AF147</f>
        <v>2.3839035835512279E-2</v>
      </c>
      <c r="AG147" s="137">
        <f>'IS (Bull-Case)'!AG147-'IS (Base-Case)'!AG147</f>
        <v>2.6803390367022839E-2</v>
      </c>
      <c r="AH147" s="113">
        <f>'IS (Bull-Case)'!AH147-'IS (Base-Case)'!AH147</f>
        <v>2.4203419459556619E-2</v>
      </c>
      <c r="AI147" s="113">
        <f>'IS (Bull-Case)'!AI147-'IS (Base-Case)'!AI147</f>
        <v>2.5574789586029656E-2</v>
      </c>
      <c r="AJ147" s="113">
        <f>'IS (Bull-Case)'!AJ147-'IS (Base-Case)'!AJ147</f>
        <v>8.3227433323356248E-3</v>
      </c>
      <c r="AK147" s="113">
        <f>'IS (Bull-Case)'!AK147-'IS (Base-Case)'!AK147</f>
        <v>2.7764095192268634E-3</v>
      </c>
      <c r="AL147" s="137">
        <f>'IS (Bull-Case)'!AL147-'IS (Base-Case)'!AL147</f>
        <v>1.538490443876217E-2</v>
      </c>
      <c r="AM147" s="113">
        <f>'IS (Bull-Case)'!AM147-'IS (Base-Case)'!AM147</f>
        <v>-1.4403842089090846E-2</v>
      </c>
      <c r="AN147" s="113">
        <f>'IS (Bull-Case)'!AN147-'IS (Base-Case)'!AN147</f>
        <v>-1.0606183692372761E-2</v>
      </c>
      <c r="AO147" s="113">
        <f>'IS (Bull-Case)'!AO147-'IS (Base-Case)'!AO147</f>
        <v>1.2277684875949824E-4</v>
      </c>
      <c r="AP147" s="113">
        <f>'IS (Bull-Case)'!AP147-'IS (Base-Case)'!AP147</f>
        <v>6.3901310234582009E-3</v>
      </c>
      <c r="AQ147" s="29">
        <f>'IS (Bull-Case)'!AQ147-'IS (Base-Case)'!AQ147</f>
        <v>-4.4691383870356649E-3</v>
      </c>
      <c r="AR147" s="113">
        <f>'IS (Bull-Case)'!AR147-'IS (Base-Case)'!AR147</f>
        <v>-1.0850081575015658E-3</v>
      </c>
      <c r="AS147" s="113">
        <f>'IS (Bull-Case)'!AS147-'IS (Base-Case)'!AS147</f>
        <v>-1.3551119692070124E-3</v>
      </c>
      <c r="AT147" s="113">
        <f>'IS (Bull-Case)'!AT147-'IS (Base-Case)'!AT147</f>
        <v>-1.1786793369017445E-3</v>
      </c>
      <c r="AU147" s="113">
        <f>'IS (Bull-Case)'!AU147-'IS (Base-Case)'!AU147</f>
        <v>-1.3610917473982909E-3</v>
      </c>
      <c r="AV147" s="29">
        <f>'IS (Bull-Case)'!AV147-'IS (Base-Case)'!AV147</f>
        <v>-1.2382953630469817E-3</v>
      </c>
    </row>
    <row r="148" spans="2:48" s="23" customFormat="1" outlineLevel="1" x14ac:dyDescent="0.3">
      <c r="B148" s="200" t="s">
        <v>140</v>
      </c>
      <c r="C148" s="201"/>
      <c r="D148" s="27">
        <f>'IS (Bull-Case)'!D148-'IS (Base-Case)'!D148</f>
        <v>0</v>
      </c>
      <c r="E148" s="27">
        <f>'IS (Bull-Case)'!E148-'IS (Base-Case)'!E148</f>
        <v>0</v>
      </c>
      <c r="F148" s="27">
        <f>'IS (Bull-Case)'!F148-'IS (Base-Case)'!F148</f>
        <v>0</v>
      </c>
      <c r="G148" s="27">
        <f>'IS (Bull-Case)'!G148-'IS (Base-Case)'!G148</f>
        <v>0</v>
      </c>
      <c r="H148" s="29">
        <f>'IS (Bull-Case)'!H148-'IS (Base-Case)'!H148</f>
        <v>0</v>
      </c>
      <c r="I148" s="27">
        <f>'IS (Bull-Case)'!I148-'IS (Base-Case)'!I148</f>
        <v>0</v>
      </c>
      <c r="J148" s="27">
        <f>'IS (Bull-Case)'!J148-'IS (Base-Case)'!J148</f>
        <v>0</v>
      </c>
      <c r="K148" s="27">
        <f>'IS (Bull-Case)'!K148-'IS (Base-Case)'!K148</f>
        <v>0</v>
      </c>
      <c r="L148" s="113">
        <f>'IS (Bull-Case)'!L148-'IS (Base-Case)'!L148</f>
        <v>0</v>
      </c>
      <c r="M148" s="137">
        <f>'IS (Bull-Case)'!M148-'IS (Base-Case)'!M148</f>
        <v>0</v>
      </c>
      <c r="N148" s="113">
        <f>'IS (Bull-Case)'!N148-'IS (Base-Case)'!N148</f>
        <v>0</v>
      </c>
      <c r="O148" s="113">
        <f>'IS (Bull-Case)'!O148-'IS (Base-Case)'!O148</f>
        <v>0</v>
      </c>
      <c r="P148" s="113">
        <f>'IS (Bull-Case)'!P148-'IS (Base-Case)'!P148</f>
        <v>0</v>
      </c>
      <c r="Q148" s="113">
        <f>'IS (Bull-Case)'!Q148-'IS (Base-Case)'!Q148</f>
        <v>0</v>
      </c>
      <c r="R148" s="29">
        <f>'IS (Bull-Case)'!R148-'IS (Base-Case)'!R148</f>
        <v>0</v>
      </c>
      <c r="S148" s="113">
        <f>'IS (Bull-Case)'!S148-'IS (Base-Case)'!S148</f>
        <v>0</v>
      </c>
      <c r="T148" s="113">
        <f>'IS (Bull-Case)'!T148-'IS (Base-Case)'!T148</f>
        <v>0</v>
      </c>
      <c r="U148" s="113">
        <f>'IS (Bull-Case)'!U148-'IS (Base-Case)'!U148</f>
        <v>0</v>
      </c>
      <c r="V148" s="113">
        <f>'IS (Bull-Case)'!V148-'IS (Base-Case)'!V148</f>
        <v>0</v>
      </c>
      <c r="W148" s="137">
        <f>'IS (Bull-Case)'!W148-'IS (Base-Case)'!W148</f>
        <v>0</v>
      </c>
      <c r="X148" s="113">
        <f>'IS (Bull-Case)'!X148-'IS (Base-Case)'!X148</f>
        <v>-5.0738621484125446E-4</v>
      </c>
      <c r="Y148" s="113">
        <f>'IS (Bull-Case)'!Y148-'IS (Base-Case)'!Y148</f>
        <v>7.0123647439953807E-2</v>
      </c>
      <c r="Z148" s="113">
        <f>'IS (Bull-Case)'!Z148-'IS (Base-Case)'!Z148</f>
        <v>1.0976666842972382E-2</v>
      </c>
      <c r="AA148" s="113">
        <f>'IS (Bull-Case)'!AA148-'IS (Base-Case)'!AA148</f>
        <v>1.6512502826399711E-2</v>
      </c>
      <c r="AB148" s="137">
        <f>'IS (Bull-Case)'!AB148-'IS (Base-Case)'!AB148</f>
        <v>1.0004274420718495E-2</v>
      </c>
      <c r="AC148" s="113">
        <f>'IS (Bull-Case)'!AC148-'IS (Base-Case)'!AC148</f>
        <v>1.8339633187690163E-2</v>
      </c>
      <c r="AD148" s="113">
        <f>'IS (Bull-Case)'!AD148-'IS (Base-Case)'!AD148</f>
        <v>2.9166476777013006E-2</v>
      </c>
      <c r="AE148" s="113">
        <f>'IS (Bull-Case)'!AE148-'IS (Base-Case)'!AE148</f>
        <v>2.5587228147626151E-2</v>
      </c>
      <c r="AF148" s="113">
        <f>'IS (Bull-Case)'!AF148-'IS (Base-Case)'!AF148</f>
        <v>1.5534561575284878E-2</v>
      </c>
      <c r="AG148" s="137">
        <f>'IS (Bull-Case)'!AG148-'IS (Base-Case)'!AG148</f>
        <v>2.0152106875147791E-2</v>
      </c>
      <c r="AH148" s="113">
        <f>'IS (Bull-Case)'!AH148-'IS (Base-Case)'!AH148</f>
        <v>1.4853849871232505E-2</v>
      </c>
      <c r="AI148" s="113">
        <f>'IS (Bull-Case)'!AI148-'IS (Base-Case)'!AI148</f>
        <v>2.4835640498375833E-2</v>
      </c>
      <c r="AJ148" s="113">
        <f>'IS (Bull-Case)'!AJ148-'IS (Base-Case)'!AJ148</f>
        <v>2.0173232896766091E-2</v>
      </c>
      <c r="AK148" s="113">
        <f>'IS (Bull-Case)'!AK148-'IS (Base-Case)'!AK148</f>
        <v>2.3218098356663885E-2</v>
      </c>
      <c r="AL148" s="29">
        <f>'IS (Bull-Case)'!AL148-'IS (Base-Case)'!AL148</f>
        <v>2.0198018635119164E-2</v>
      </c>
      <c r="AM148" s="113">
        <f>'IS (Bull-Case)'!AM148-'IS (Base-Case)'!AM148</f>
        <v>1.6410980297961286E-2</v>
      </c>
      <c r="AN148" s="113">
        <f>'IS (Bull-Case)'!AN148-'IS (Base-Case)'!AN148</f>
        <v>1.7573818882462344E-2</v>
      </c>
      <c r="AO148" s="113">
        <f>'IS (Bull-Case)'!AO148-'IS (Base-Case)'!AO148</f>
        <v>1.3027925011177555E-2</v>
      </c>
      <c r="AP148" s="113">
        <f>'IS (Bull-Case)'!AP148-'IS (Base-Case)'!AP148</f>
        <v>3.8024589179479484E-3</v>
      </c>
      <c r="AQ148" s="29">
        <f>'IS (Bull-Case)'!AQ148-'IS (Base-Case)'!AQ148</f>
        <v>1.185347769479117E-2</v>
      </c>
      <c r="AR148" s="113">
        <f>'IS (Bull-Case)'!AR148-'IS (Base-Case)'!AR148</f>
        <v>-8.1786919857540497E-4</v>
      </c>
      <c r="AS148" s="113">
        <f>'IS (Bull-Case)'!AS148-'IS (Base-Case)'!AS148</f>
        <v>-1.8493687869836073E-3</v>
      </c>
      <c r="AT148" s="113">
        <f>'IS (Bull-Case)'!AT148-'IS (Base-Case)'!AT148</f>
        <v>-1.9506992421762792E-3</v>
      </c>
      <c r="AU148" s="113">
        <f>'IS (Bull-Case)'!AU148-'IS (Base-Case)'!AU148</f>
        <v>-2.1262926350851252E-4</v>
      </c>
      <c r="AV148" s="29">
        <f>'IS (Bull-Case)'!AV148-'IS (Base-Case)'!AV148</f>
        <v>-9.8400359635641976E-4</v>
      </c>
    </row>
    <row r="149" spans="2:48" s="23" customFormat="1" outlineLevel="1" x14ac:dyDescent="0.3">
      <c r="B149" s="200" t="s">
        <v>335</v>
      </c>
      <c r="C149" s="201"/>
      <c r="D149" s="27">
        <f>'IS (Bull-Case)'!D149-'IS (Base-Case)'!D149</f>
        <v>0</v>
      </c>
      <c r="E149" s="27">
        <f>'IS (Bull-Case)'!E149-'IS (Base-Case)'!E149</f>
        <v>0</v>
      </c>
      <c r="F149" s="27">
        <f>'IS (Bull-Case)'!F149-'IS (Base-Case)'!F149</f>
        <v>0</v>
      </c>
      <c r="G149" s="27">
        <f>'IS (Bull-Case)'!G149-'IS (Base-Case)'!G149</f>
        <v>0</v>
      </c>
      <c r="H149" s="29">
        <f>'IS (Bull-Case)'!H149-'IS (Base-Case)'!H149</f>
        <v>0</v>
      </c>
      <c r="I149" s="27">
        <f>'IS (Bull-Case)'!I149-'IS (Base-Case)'!I149</f>
        <v>0</v>
      </c>
      <c r="J149" s="27">
        <f>'IS (Bull-Case)'!J149-'IS (Base-Case)'!J149</f>
        <v>0</v>
      </c>
      <c r="K149" s="27">
        <f>'IS (Bull-Case)'!K149-'IS (Base-Case)'!K149</f>
        <v>0</v>
      </c>
      <c r="L149" s="113">
        <f>'IS (Bull-Case)'!L149-'IS (Base-Case)'!L149</f>
        <v>0</v>
      </c>
      <c r="M149" s="137">
        <f>'IS (Bull-Case)'!M149-'IS (Base-Case)'!M149</f>
        <v>0</v>
      </c>
      <c r="N149" s="113">
        <f>'IS (Bull-Case)'!N149-'IS (Base-Case)'!N149</f>
        <v>0</v>
      </c>
      <c r="O149" s="113">
        <f>'IS (Bull-Case)'!O149-'IS (Base-Case)'!O149</f>
        <v>0</v>
      </c>
      <c r="P149" s="113">
        <f>'IS (Bull-Case)'!P149-'IS (Base-Case)'!P149</f>
        <v>0</v>
      </c>
      <c r="Q149" s="113">
        <f>'IS (Bull-Case)'!Q149-'IS (Base-Case)'!Q149</f>
        <v>0</v>
      </c>
      <c r="R149" s="29">
        <f>'IS (Bull-Case)'!R149-'IS (Base-Case)'!R149</f>
        <v>0</v>
      </c>
      <c r="S149" s="113">
        <f>'IS (Bull-Case)'!S149-'IS (Base-Case)'!S149</f>
        <v>0</v>
      </c>
      <c r="T149" s="113">
        <f>'IS (Bull-Case)'!T149-'IS (Base-Case)'!T149</f>
        <v>0</v>
      </c>
      <c r="U149" s="113">
        <f>'IS (Bull-Case)'!U149-'IS (Base-Case)'!U149</f>
        <v>0</v>
      </c>
      <c r="V149" s="113">
        <f>'IS (Bull-Case)'!V149-'IS (Base-Case)'!V149</f>
        <v>0</v>
      </c>
      <c r="W149" s="137">
        <f>'IS (Bull-Case)'!W149-'IS (Base-Case)'!W149</f>
        <v>0</v>
      </c>
      <c r="X149" s="113">
        <f>'IS (Bull-Case)'!X149-'IS (Base-Case)'!X149</f>
        <v>0</v>
      </c>
      <c r="Y149" s="113">
        <f>'IS (Bull-Case)'!Y149-'IS (Base-Case)'!Y149</f>
        <v>0</v>
      </c>
      <c r="Z149" s="113">
        <f>'IS (Bull-Case)'!Z149-'IS (Base-Case)'!Z149</f>
        <v>0</v>
      </c>
      <c r="AA149" s="113">
        <f>'IS (Bull-Case)'!AA149-'IS (Base-Case)'!AA149</f>
        <v>0</v>
      </c>
      <c r="AB149" s="137">
        <f>'IS (Bull-Case)'!AB149-'IS (Base-Case)'!AB149</f>
        <v>0</v>
      </c>
      <c r="AC149" s="113">
        <f>'IS (Bull-Case)'!AC149-'IS (Base-Case)'!AC149</f>
        <v>0</v>
      </c>
      <c r="AD149" s="113">
        <f>'IS (Bull-Case)'!AD149-'IS (Base-Case)'!AD149</f>
        <v>0</v>
      </c>
      <c r="AE149" s="113">
        <f>'IS (Bull-Case)'!AE149-'IS (Base-Case)'!AE149</f>
        <v>0</v>
      </c>
      <c r="AF149" s="113">
        <f>'IS (Bull-Case)'!AF149-'IS (Base-Case)'!AF149</f>
        <v>0</v>
      </c>
      <c r="AG149" s="137">
        <f>'IS (Bull-Case)'!AG149-'IS (Base-Case)'!AG149</f>
        <v>0</v>
      </c>
      <c r="AH149" s="113">
        <f>'IS (Bull-Case)'!AH149-'IS (Base-Case)'!AH149</f>
        <v>0</v>
      </c>
      <c r="AI149" s="113">
        <f>'IS (Bull-Case)'!AI149-'IS (Base-Case)'!AI149</f>
        <v>0</v>
      </c>
      <c r="AJ149" s="113">
        <f>'IS (Bull-Case)'!AJ149-'IS (Base-Case)'!AJ149</f>
        <v>0</v>
      </c>
      <c r="AK149" s="113">
        <f>'IS (Bull-Case)'!AK149-'IS (Base-Case)'!AK149</f>
        <v>0</v>
      </c>
      <c r="AL149" s="406">
        <f>'IS (Bull-Case)'!AL149-'IS (Base-Case)'!AL149</f>
        <v>2.0225522031966703E-2</v>
      </c>
      <c r="AM149" s="113">
        <f>'IS (Bull-Case)'!AM149-'IS (Base-Case)'!AM149</f>
        <v>0</v>
      </c>
      <c r="AN149" s="113">
        <f>'IS (Bull-Case)'!AN149-'IS (Base-Case)'!AN149</f>
        <v>0</v>
      </c>
      <c r="AO149" s="113">
        <f>'IS (Bull-Case)'!AO149-'IS (Base-Case)'!AO149</f>
        <v>0</v>
      </c>
      <c r="AP149" s="113">
        <f>'IS (Bull-Case)'!AP149-'IS (Base-Case)'!AP149</f>
        <v>0</v>
      </c>
      <c r="AQ149" s="29">
        <f>'IS (Bull-Case)'!AQ149-'IS (Base-Case)'!AQ149</f>
        <v>0</v>
      </c>
      <c r="AR149" s="113">
        <f>'IS (Bull-Case)'!AR149-'IS (Base-Case)'!AR149</f>
        <v>0</v>
      </c>
      <c r="AS149" s="113">
        <f>'IS (Bull-Case)'!AS149-'IS (Base-Case)'!AS149</f>
        <v>0</v>
      </c>
      <c r="AT149" s="113">
        <f>'IS (Bull-Case)'!AT149-'IS (Base-Case)'!AT149</f>
        <v>0</v>
      </c>
      <c r="AU149" s="113">
        <f>'IS (Bull-Case)'!AU149-'IS (Base-Case)'!AU149</f>
        <v>0</v>
      </c>
      <c r="AV149" s="29">
        <f>'IS (Bull-Case)'!AV149-'IS (Base-Case)'!AV149</f>
        <v>0</v>
      </c>
    </row>
    <row r="150" spans="2:48" ht="17.399999999999999" x14ac:dyDescent="0.45">
      <c r="B150" s="433" t="s">
        <v>130</v>
      </c>
      <c r="C150" s="434"/>
      <c r="D150" s="14" t="s">
        <v>19</v>
      </c>
      <c r="E150" s="14" t="s">
        <v>81</v>
      </c>
      <c r="F150" s="14" t="s">
        <v>85</v>
      </c>
      <c r="G150" s="14" t="s">
        <v>95</v>
      </c>
      <c r="H150" s="40" t="s">
        <v>96</v>
      </c>
      <c r="I150" s="14" t="s">
        <v>97</v>
      </c>
      <c r="J150" s="14" t="s">
        <v>98</v>
      </c>
      <c r="K150" s="14" t="s">
        <v>99</v>
      </c>
      <c r="L150" s="14" t="s">
        <v>142</v>
      </c>
      <c r="M150" s="40" t="s">
        <v>143</v>
      </c>
      <c r="N150" s="14" t="s">
        <v>149</v>
      </c>
      <c r="O150" s="14" t="s">
        <v>157</v>
      </c>
      <c r="P150" s="14" t="s">
        <v>159</v>
      </c>
      <c r="Q150" s="14" t="s">
        <v>172</v>
      </c>
      <c r="R150" s="40" t="s">
        <v>173</v>
      </c>
      <c r="S150" s="14" t="s">
        <v>188</v>
      </c>
      <c r="T150" s="14" t="s">
        <v>189</v>
      </c>
      <c r="U150" s="14" t="s">
        <v>204</v>
      </c>
      <c r="V150" s="12" t="s">
        <v>25</v>
      </c>
      <c r="W150" s="255" t="s">
        <v>26</v>
      </c>
      <c r="X150" s="12" t="s">
        <v>27</v>
      </c>
      <c r="Y150" s="12" t="s">
        <v>28</v>
      </c>
      <c r="Z150" s="12" t="s">
        <v>29</v>
      </c>
      <c r="AA150" s="12" t="s">
        <v>30</v>
      </c>
      <c r="AB150" s="42" t="s">
        <v>31</v>
      </c>
      <c r="AC150" s="12" t="s">
        <v>90</v>
      </c>
      <c r="AD150" s="12" t="s">
        <v>91</v>
      </c>
      <c r="AE150" s="12" t="s">
        <v>92</v>
      </c>
      <c r="AF150" s="12" t="s">
        <v>93</v>
      </c>
      <c r="AG150" s="42" t="s">
        <v>94</v>
      </c>
      <c r="AH150" s="12" t="s">
        <v>109</v>
      </c>
      <c r="AI150" s="12" t="s">
        <v>110</v>
      </c>
      <c r="AJ150" s="12" t="s">
        <v>111</v>
      </c>
      <c r="AK150" s="12" t="s">
        <v>112</v>
      </c>
      <c r="AL150" s="42" t="s">
        <v>113</v>
      </c>
      <c r="AM150" s="12" t="s">
        <v>164</v>
      </c>
      <c r="AN150" s="12" t="s">
        <v>165</v>
      </c>
      <c r="AO150" s="12" t="s">
        <v>166</v>
      </c>
      <c r="AP150" s="12" t="s">
        <v>167</v>
      </c>
      <c r="AQ150" s="42" t="s">
        <v>168</v>
      </c>
      <c r="AR150" s="12" t="s">
        <v>195</v>
      </c>
      <c r="AS150" s="12" t="s">
        <v>196</v>
      </c>
      <c r="AT150" s="12" t="s">
        <v>197</v>
      </c>
      <c r="AU150" s="12" t="s">
        <v>198</v>
      </c>
      <c r="AV150" s="42" t="s">
        <v>199</v>
      </c>
    </row>
    <row r="151" spans="2:48" outlineLevel="1" x14ac:dyDescent="0.3">
      <c r="B151" s="435" t="s">
        <v>208</v>
      </c>
      <c r="C151" s="436"/>
      <c r="D151" s="27">
        <f>'IS (Bull-Case)'!D151-'IS (Base-Case)'!D151</f>
        <v>0</v>
      </c>
      <c r="E151" s="27">
        <f>'IS (Bull-Case)'!E151-'IS (Base-Case)'!E151</f>
        <v>0</v>
      </c>
      <c r="F151" s="27">
        <f>'IS (Bull-Case)'!F151-'IS (Base-Case)'!F151</f>
        <v>0</v>
      </c>
      <c r="G151" s="27">
        <f>'IS (Bull-Case)'!G151-'IS (Base-Case)'!G151</f>
        <v>0</v>
      </c>
      <c r="H151" s="9">
        <f>'IS (Bull-Case)'!H151-'IS (Base-Case)'!H151</f>
        <v>0</v>
      </c>
      <c r="I151" s="27">
        <f>'IS (Bull-Case)'!I151-'IS (Base-Case)'!I151</f>
        <v>0</v>
      </c>
      <c r="J151" s="27">
        <f>'IS (Bull-Case)'!J151-'IS (Base-Case)'!J151</f>
        <v>0</v>
      </c>
      <c r="K151" s="27">
        <f>'IS (Bull-Case)'!K151-'IS (Base-Case)'!K151</f>
        <v>0</v>
      </c>
      <c r="L151" s="27">
        <f>'IS (Bull-Case)'!L151-'IS (Base-Case)'!L151</f>
        <v>0</v>
      </c>
      <c r="M151" s="9">
        <f>'IS (Bull-Case)'!M151-'IS (Base-Case)'!M151</f>
        <v>0</v>
      </c>
      <c r="N151" s="27">
        <f>'IS (Bull-Case)'!N151-'IS (Base-Case)'!N151</f>
        <v>0</v>
      </c>
      <c r="O151" s="27">
        <f>'IS (Bull-Case)'!O151-'IS (Base-Case)'!O151</f>
        <v>0</v>
      </c>
      <c r="P151" s="27">
        <f>'IS (Bull-Case)'!P151-'IS (Base-Case)'!P151</f>
        <v>0</v>
      </c>
      <c r="Q151" s="27">
        <f>'IS (Bull-Case)'!Q151-'IS (Base-Case)'!Q151</f>
        <v>0</v>
      </c>
      <c r="R151" s="9">
        <f>'IS (Bull-Case)'!R151-'IS (Base-Case)'!R151</f>
        <v>0</v>
      </c>
      <c r="S151" s="27">
        <f>'IS (Bull-Case)'!S151-'IS (Base-Case)'!S151</f>
        <v>0</v>
      </c>
      <c r="T151" s="27">
        <f>'IS (Bull-Case)'!T151-'IS (Base-Case)'!T151</f>
        <v>0</v>
      </c>
      <c r="U151" s="27">
        <f>'IS (Bull-Case)'!U151-'IS (Base-Case)'!U151</f>
        <v>0</v>
      </c>
      <c r="V151" s="35">
        <f>'IS (Bull-Case)'!V151-'IS (Base-Case)'!V151</f>
        <v>0</v>
      </c>
      <c r="W151" s="256">
        <f>'IS (Bull-Case)'!W151-'IS (Base-Case)'!W151</f>
        <v>0</v>
      </c>
      <c r="X151" s="35">
        <f>'IS (Bull-Case)'!X151-'IS (Base-Case)'!X151</f>
        <v>0</v>
      </c>
      <c r="Y151" s="35">
        <f>'IS (Bull-Case)'!Y151-'IS (Base-Case)'!Y151</f>
        <v>0</v>
      </c>
      <c r="Z151" s="35">
        <f>'IS (Bull-Case)'!Z151-'IS (Base-Case)'!Z151</f>
        <v>0</v>
      </c>
      <c r="AA151" s="35">
        <f>'IS (Bull-Case)'!AA151-'IS (Base-Case)'!AA151</f>
        <v>0</v>
      </c>
      <c r="AB151" s="9">
        <f>'IS (Bull-Case)'!AB151-'IS (Base-Case)'!AB151</f>
        <v>0</v>
      </c>
      <c r="AC151" s="35">
        <f>'IS (Bull-Case)'!AC151-'IS (Base-Case)'!AC151</f>
        <v>0</v>
      </c>
      <c r="AD151" s="35">
        <f>'IS (Bull-Case)'!AD151-'IS (Base-Case)'!AD151</f>
        <v>0</v>
      </c>
      <c r="AE151" s="35">
        <f>'IS (Bull-Case)'!AE151-'IS (Base-Case)'!AE151</f>
        <v>0</v>
      </c>
      <c r="AF151" s="35">
        <f>'IS (Bull-Case)'!AF151-'IS (Base-Case)'!AF151</f>
        <v>0</v>
      </c>
      <c r="AG151" s="9">
        <f>'IS (Bull-Case)'!AG151-'IS (Base-Case)'!AG151</f>
        <v>0</v>
      </c>
      <c r="AH151" s="35">
        <f>'IS (Bull-Case)'!AH151-'IS (Base-Case)'!AH151</f>
        <v>0</v>
      </c>
      <c r="AI151" s="35">
        <f>'IS (Bull-Case)'!AI151-'IS (Base-Case)'!AI151</f>
        <v>0</v>
      </c>
      <c r="AJ151" s="35">
        <f>'IS (Bull-Case)'!AJ151-'IS (Base-Case)'!AJ151</f>
        <v>0</v>
      </c>
      <c r="AK151" s="35">
        <f>'IS (Bull-Case)'!AK151-'IS (Base-Case)'!AK151</f>
        <v>0</v>
      </c>
      <c r="AL151" s="9">
        <f>'IS (Bull-Case)'!AL151-'IS (Base-Case)'!AL151</f>
        <v>0</v>
      </c>
      <c r="AM151" s="35">
        <f>'IS (Bull-Case)'!AM151-'IS (Base-Case)'!AM151</f>
        <v>0</v>
      </c>
      <c r="AN151" s="35">
        <f>'IS (Bull-Case)'!AN151-'IS (Base-Case)'!AN151</f>
        <v>0</v>
      </c>
      <c r="AO151" s="35">
        <f>'IS (Bull-Case)'!AO151-'IS (Base-Case)'!AO151</f>
        <v>0</v>
      </c>
      <c r="AP151" s="35">
        <f>'IS (Bull-Case)'!AP151-'IS (Base-Case)'!AP151</f>
        <v>0</v>
      </c>
      <c r="AQ151" s="9">
        <f>'IS (Bull-Case)'!AQ151-'IS (Base-Case)'!AQ151</f>
        <v>0</v>
      </c>
      <c r="AR151" s="35">
        <f>'IS (Bull-Case)'!AR151-'IS (Base-Case)'!AR151</f>
        <v>0</v>
      </c>
      <c r="AS151" s="35">
        <f>'IS (Bull-Case)'!AS151-'IS (Base-Case)'!AS151</f>
        <v>0</v>
      </c>
      <c r="AT151" s="35">
        <f>'IS (Bull-Case)'!AT151-'IS (Base-Case)'!AT151</f>
        <v>0</v>
      </c>
      <c r="AU151" s="35">
        <f>'IS (Bull-Case)'!AU151-'IS (Base-Case)'!AU151</f>
        <v>0</v>
      </c>
      <c r="AV151" s="9">
        <f>'IS (Bull-Case)'!AV151-'IS (Base-Case)'!AV151</f>
        <v>0</v>
      </c>
    </row>
    <row r="152" spans="2:48" outlineLevel="1" x14ac:dyDescent="0.3">
      <c r="B152" s="435" t="s">
        <v>209</v>
      </c>
      <c r="C152" s="436"/>
      <c r="D152" s="27">
        <f>'IS (Bull-Case)'!D152-'IS (Base-Case)'!D152</f>
        <v>0</v>
      </c>
      <c r="E152" s="27">
        <f>'IS (Bull-Case)'!E152-'IS (Base-Case)'!E152</f>
        <v>0</v>
      </c>
      <c r="F152" s="27">
        <f>'IS (Bull-Case)'!F152-'IS (Base-Case)'!F152</f>
        <v>0</v>
      </c>
      <c r="G152" s="27">
        <f>'IS (Bull-Case)'!G152-'IS (Base-Case)'!G152</f>
        <v>0</v>
      </c>
      <c r="H152" s="9">
        <f>'IS (Bull-Case)'!H152-'IS (Base-Case)'!H152</f>
        <v>0</v>
      </c>
      <c r="I152" s="27">
        <f>'IS (Bull-Case)'!I152-'IS (Base-Case)'!I152</f>
        <v>0</v>
      </c>
      <c r="J152" s="27">
        <f>'IS (Bull-Case)'!J152-'IS (Base-Case)'!J152</f>
        <v>0</v>
      </c>
      <c r="K152" s="27">
        <f>'IS (Bull-Case)'!K152-'IS (Base-Case)'!K152</f>
        <v>0</v>
      </c>
      <c r="L152" s="27">
        <f>'IS (Bull-Case)'!L152-'IS (Base-Case)'!L152</f>
        <v>0</v>
      </c>
      <c r="M152" s="9">
        <f>'IS (Bull-Case)'!M152-'IS (Base-Case)'!M152</f>
        <v>0</v>
      </c>
      <c r="N152" s="27">
        <f>'IS (Bull-Case)'!N152-'IS (Base-Case)'!N152</f>
        <v>0</v>
      </c>
      <c r="O152" s="27">
        <f>'IS (Bull-Case)'!O152-'IS (Base-Case)'!O152</f>
        <v>0</v>
      </c>
      <c r="P152" s="27">
        <f>'IS (Bull-Case)'!P152-'IS (Base-Case)'!P152</f>
        <v>0</v>
      </c>
      <c r="Q152" s="27">
        <f>'IS (Bull-Case)'!Q152-'IS (Base-Case)'!Q152</f>
        <v>0</v>
      </c>
      <c r="R152" s="9">
        <f>'IS (Bull-Case)'!R152-'IS (Base-Case)'!R152</f>
        <v>0</v>
      </c>
      <c r="S152" s="27">
        <f>'IS (Bull-Case)'!S152-'IS (Base-Case)'!S152</f>
        <v>0</v>
      </c>
      <c r="T152" s="27">
        <f>'IS (Bull-Case)'!T152-'IS (Base-Case)'!T152</f>
        <v>0</v>
      </c>
      <c r="U152" s="27">
        <f>'IS (Bull-Case)'!U152-'IS (Base-Case)'!U152</f>
        <v>0</v>
      </c>
      <c r="V152" s="35">
        <f>'IS (Bull-Case)'!V152-'IS (Base-Case)'!V152</f>
        <v>0</v>
      </c>
      <c r="W152" s="256">
        <f>'IS (Bull-Case)'!W152-'IS (Base-Case)'!W152</f>
        <v>0</v>
      </c>
      <c r="X152" s="35">
        <f>'IS (Bull-Case)'!X152-'IS (Base-Case)'!X152</f>
        <v>0</v>
      </c>
      <c r="Y152" s="35">
        <f>'IS (Bull-Case)'!Y152-'IS (Base-Case)'!Y152</f>
        <v>0</v>
      </c>
      <c r="Z152" s="35">
        <f>'IS (Bull-Case)'!Z152-'IS (Base-Case)'!Z152</f>
        <v>0</v>
      </c>
      <c r="AA152" s="35">
        <f>'IS (Bull-Case)'!AA152-'IS (Base-Case)'!AA152</f>
        <v>0</v>
      </c>
      <c r="AB152" s="9">
        <f>'IS (Bull-Case)'!AB152-'IS (Base-Case)'!AB152</f>
        <v>0</v>
      </c>
      <c r="AC152" s="35">
        <f>'IS (Bull-Case)'!AC152-'IS (Base-Case)'!AC152</f>
        <v>0</v>
      </c>
      <c r="AD152" s="35">
        <f>'IS (Bull-Case)'!AD152-'IS (Base-Case)'!AD152</f>
        <v>0</v>
      </c>
      <c r="AE152" s="35">
        <f>'IS (Bull-Case)'!AE152-'IS (Base-Case)'!AE152</f>
        <v>0</v>
      </c>
      <c r="AF152" s="35">
        <f>'IS (Bull-Case)'!AF152-'IS (Base-Case)'!AF152</f>
        <v>0</v>
      </c>
      <c r="AG152" s="9">
        <f>'IS (Bull-Case)'!AG152-'IS (Base-Case)'!AG152</f>
        <v>0</v>
      </c>
      <c r="AH152" s="35">
        <f>'IS (Bull-Case)'!AH152-'IS (Base-Case)'!AH152</f>
        <v>0</v>
      </c>
      <c r="AI152" s="35">
        <f>'IS (Bull-Case)'!AI152-'IS (Base-Case)'!AI152</f>
        <v>0</v>
      </c>
      <c r="AJ152" s="35">
        <f>'IS (Bull-Case)'!AJ152-'IS (Base-Case)'!AJ152</f>
        <v>0</v>
      </c>
      <c r="AK152" s="35">
        <f>'IS (Bull-Case)'!AK152-'IS (Base-Case)'!AK152</f>
        <v>0</v>
      </c>
      <c r="AL152" s="9">
        <f>'IS (Bull-Case)'!AL152-'IS (Base-Case)'!AL152</f>
        <v>0</v>
      </c>
      <c r="AM152" s="35">
        <f>'IS (Bull-Case)'!AM152-'IS (Base-Case)'!AM152</f>
        <v>0</v>
      </c>
      <c r="AN152" s="35">
        <f>'IS (Bull-Case)'!AN152-'IS (Base-Case)'!AN152</f>
        <v>0</v>
      </c>
      <c r="AO152" s="35">
        <f>'IS (Bull-Case)'!AO152-'IS (Base-Case)'!AO152</f>
        <v>0</v>
      </c>
      <c r="AP152" s="35">
        <f>'IS (Bull-Case)'!AP152-'IS (Base-Case)'!AP152</f>
        <v>0</v>
      </c>
      <c r="AQ152" s="9">
        <f>'IS (Bull-Case)'!AQ152-'IS (Base-Case)'!AQ152</f>
        <v>0</v>
      </c>
      <c r="AR152" s="35">
        <f>'IS (Bull-Case)'!AR152-'IS (Base-Case)'!AR152</f>
        <v>0</v>
      </c>
      <c r="AS152" s="35">
        <f>'IS (Bull-Case)'!AS152-'IS (Base-Case)'!AS152</f>
        <v>0</v>
      </c>
      <c r="AT152" s="35">
        <f>'IS (Bull-Case)'!AT152-'IS (Base-Case)'!AT152</f>
        <v>0</v>
      </c>
      <c r="AU152" s="35">
        <f>'IS (Bull-Case)'!AU152-'IS (Base-Case)'!AU152</f>
        <v>0</v>
      </c>
      <c r="AV152" s="9">
        <f>'IS (Bull-Case)'!AV152-'IS (Base-Case)'!AV152</f>
        <v>0</v>
      </c>
    </row>
    <row r="153" spans="2:48" outlineLevel="1" x14ac:dyDescent="0.3">
      <c r="B153" s="447" t="s">
        <v>137</v>
      </c>
      <c r="C153" s="448"/>
      <c r="D153" s="245">
        <f>'IS (Bull-Case)'!D153-'IS (Base-Case)'!D153</f>
        <v>0</v>
      </c>
      <c r="E153" s="144">
        <f>'IS (Bull-Case)'!E153-'IS (Base-Case)'!E153</f>
        <v>0</v>
      </c>
      <c r="F153" s="144">
        <f>'IS (Bull-Case)'!F153-'IS (Base-Case)'!F153</f>
        <v>0</v>
      </c>
      <c r="G153" s="144">
        <f>'IS (Bull-Case)'!G153-'IS (Base-Case)'!G153</f>
        <v>0</v>
      </c>
      <c r="H153" s="246">
        <f>'IS (Bull-Case)'!H153-'IS (Base-Case)'!H153</f>
        <v>0</v>
      </c>
      <c r="I153" s="144">
        <f>'IS (Bull-Case)'!I153-'IS (Base-Case)'!I153</f>
        <v>0</v>
      </c>
      <c r="J153" s="144">
        <f>'IS (Bull-Case)'!J153-'IS (Base-Case)'!J153</f>
        <v>0</v>
      </c>
      <c r="K153" s="144">
        <f>'IS (Bull-Case)'!K153-'IS (Base-Case)'!K153</f>
        <v>0</v>
      </c>
      <c r="L153" s="144">
        <f>'IS (Bull-Case)'!L153-'IS (Base-Case)'!L153</f>
        <v>0</v>
      </c>
      <c r="M153" s="246">
        <f>'IS (Bull-Case)'!M153-'IS (Base-Case)'!M153</f>
        <v>0</v>
      </c>
      <c r="N153" s="144">
        <f>'IS (Bull-Case)'!N153-'IS (Base-Case)'!N153</f>
        <v>0</v>
      </c>
      <c r="O153" s="144">
        <f>'IS (Bull-Case)'!O153-'IS (Base-Case)'!O153</f>
        <v>0</v>
      </c>
      <c r="P153" s="144">
        <f>'IS (Bull-Case)'!P153-'IS (Base-Case)'!P153</f>
        <v>0</v>
      </c>
      <c r="Q153" s="144">
        <f>'IS (Bull-Case)'!Q153-'IS (Base-Case)'!Q153</f>
        <v>0</v>
      </c>
      <c r="R153" s="246">
        <f>'IS (Bull-Case)'!R153-'IS (Base-Case)'!R153</f>
        <v>0</v>
      </c>
      <c r="S153" s="144">
        <f>'IS (Bull-Case)'!S153-'IS (Base-Case)'!S153</f>
        <v>0</v>
      </c>
      <c r="T153" s="144">
        <f>'IS (Bull-Case)'!T153-'IS (Base-Case)'!T153</f>
        <v>0</v>
      </c>
      <c r="U153" s="144">
        <f>'IS (Bull-Case)'!U153-'IS (Base-Case)'!U153</f>
        <v>0</v>
      </c>
      <c r="V153" s="247">
        <f>'IS (Bull-Case)'!V153-'IS (Base-Case)'!V153</f>
        <v>0</v>
      </c>
      <c r="W153" s="257">
        <f>'IS (Bull-Case)'!W153-'IS (Base-Case)'!W153</f>
        <v>0</v>
      </c>
      <c r="X153" s="247">
        <f>'IS (Bull-Case)'!X153-'IS (Base-Case)'!X153</f>
        <v>0</v>
      </c>
      <c r="Y153" s="247">
        <f>'IS (Bull-Case)'!Y153-'IS (Base-Case)'!Y153</f>
        <v>0</v>
      </c>
      <c r="Z153" s="247">
        <f>'IS (Bull-Case)'!Z153-'IS (Base-Case)'!Z153</f>
        <v>0</v>
      </c>
      <c r="AA153" s="247">
        <f>'IS (Bull-Case)'!AA153-'IS (Base-Case)'!AA153</f>
        <v>0</v>
      </c>
      <c r="AB153" s="246">
        <f>'IS (Bull-Case)'!AB153-'IS (Base-Case)'!AB153</f>
        <v>0</v>
      </c>
      <c r="AC153" s="393">
        <f>'IS (Bull-Case)'!AC153-'IS (Base-Case)'!AC153</f>
        <v>1.3505625000000094</v>
      </c>
      <c r="AD153" s="247">
        <f>'IS (Bull-Case)'!AD153-'IS (Base-Case)'!AD153</f>
        <v>1.3505625000000094</v>
      </c>
      <c r="AE153" s="247">
        <f>'IS (Bull-Case)'!AE153-'IS (Base-Case)'!AE153</f>
        <v>1.3505625000000094</v>
      </c>
      <c r="AF153" s="247">
        <f>'IS (Bull-Case)'!AF153-'IS (Base-Case)'!AF153</f>
        <v>1.3505625000000094</v>
      </c>
      <c r="AG153" s="390">
        <f>'IS (Bull-Case)'!AG153-'IS (Base-Case)'!AG153</f>
        <v>0</v>
      </c>
      <c r="AH153" s="393">
        <f>'IS (Bull-Case)'!AH153-'IS (Base-Case)'!AH153</f>
        <v>5.4697781250000048</v>
      </c>
      <c r="AI153" s="247">
        <f>'IS (Bull-Case)'!AI153-'IS (Base-Case)'!AI153</f>
        <v>5.4697781250000048</v>
      </c>
      <c r="AJ153" s="247">
        <f>'IS (Bull-Case)'!AJ153-'IS (Base-Case)'!AJ153</f>
        <v>5.4697781250000048</v>
      </c>
      <c r="AK153" s="247">
        <f>'IS (Bull-Case)'!AK153-'IS (Base-Case)'!AK153</f>
        <v>5.4697781250000048</v>
      </c>
      <c r="AL153" s="390">
        <f>'IS (Bull-Case)'!AL153-'IS (Base-Case)'!AL153</f>
        <v>0</v>
      </c>
      <c r="AM153" s="247">
        <f>'IS (Bull-Case)'!AM153-'IS (Base-Case)'!AM153</f>
        <v>5.7007243125000002</v>
      </c>
      <c r="AN153" s="247">
        <f>'IS (Bull-Case)'!AN153-'IS (Base-Case)'!AN153</f>
        <v>5.7007243125000002</v>
      </c>
      <c r="AO153" s="247">
        <f>'IS (Bull-Case)'!AO153-'IS (Base-Case)'!AO153</f>
        <v>5.7007243125000002</v>
      </c>
      <c r="AP153" s="247">
        <f>'IS (Bull-Case)'!AP153-'IS (Base-Case)'!AP153</f>
        <v>5.7007243125000002</v>
      </c>
      <c r="AQ153" s="246">
        <f>'IS (Bull-Case)'!AQ153-'IS (Base-Case)'!AQ153</f>
        <v>0</v>
      </c>
      <c r="AR153" s="247">
        <f>'IS (Bull-Case)'!AR153-'IS (Base-Case)'!AR153</f>
        <v>5.8147387987500281</v>
      </c>
      <c r="AS153" s="247">
        <f>'IS (Bull-Case)'!AS153-'IS (Base-Case)'!AS153</f>
        <v>5.8147387987500281</v>
      </c>
      <c r="AT153" s="247">
        <f>'IS (Bull-Case)'!AT153-'IS (Base-Case)'!AT153</f>
        <v>5.8147387987500281</v>
      </c>
      <c r="AU153" s="247">
        <f>'IS (Bull-Case)'!AU153-'IS (Base-Case)'!AU153</f>
        <v>5.8147387987500281</v>
      </c>
      <c r="AV153" s="246">
        <f>'IS (Bull-Case)'!AV153-'IS (Base-Case)'!AV153</f>
        <v>0</v>
      </c>
    </row>
    <row r="154" spans="2:48" outlineLevel="1" x14ac:dyDescent="0.3">
      <c r="B154" s="435" t="s">
        <v>138</v>
      </c>
      <c r="C154" s="436"/>
      <c r="D154" s="16">
        <f>'IS (Bull-Case)'!D154-'IS (Base-Case)'!D154</f>
        <v>0</v>
      </c>
      <c r="E154" s="105">
        <f>'IS (Bull-Case)'!E154-'IS (Base-Case)'!E154</f>
        <v>0</v>
      </c>
      <c r="F154" s="105">
        <f>'IS (Bull-Case)'!F154-'IS (Base-Case)'!F154</f>
        <v>0</v>
      </c>
      <c r="G154" s="101">
        <f>'IS (Bull-Case)'!G154-'IS (Base-Case)'!G154</f>
        <v>0</v>
      </c>
      <c r="H154" s="17">
        <f>'IS (Bull-Case)'!H154-'IS (Base-Case)'!H154</f>
        <v>0</v>
      </c>
      <c r="I154" s="101">
        <f>'IS (Bull-Case)'!I154-'IS (Base-Case)'!I154</f>
        <v>0</v>
      </c>
      <c r="J154" s="101">
        <f>'IS (Bull-Case)'!J154-'IS (Base-Case)'!J154</f>
        <v>0</v>
      </c>
      <c r="K154" s="101">
        <f>'IS (Bull-Case)'!K154-'IS (Base-Case)'!K154</f>
        <v>0</v>
      </c>
      <c r="L154" s="101">
        <f>'IS (Bull-Case)'!L154-'IS (Base-Case)'!L154</f>
        <v>0</v>
      </c>
      <c r="M154" s="17">
        <f>'IS (Bull-Case)'!M154-'IS (Base-Case)'!M154</f>
        <v>0</v>
      </c>
      <c r="N154" s="101">
        <f>'IS (Bull-Case)'!N154-'IS (Base-Case)'!N154</f>
        <v>0</v>
      </c>
      <c r="O154" s="101">
        <f>'IS (Bull-Case)'!O154-'IS (Base-Case)'!O154</f>
        <v>0</v>
      </c>
      <c r="P154" s="101">
        <f>'IS (Bull-Case)'!P154-'IS (Base-Case)'!P154</f>
        <v>0</v>
      </c>
      <c r="Q154" s="101">
        <f>'IS (Bull-Case)'!Q154-'IS (Base-Case)'!Q154</f>
        <v>0</v>
      </c>
      <c r="R154" s="17">
        <f>'IS (Bull-Case)'!R154-'IS (Base-Case)'!R154</f>
        <v>0</v>
      </c>
      <c r="S154" s="101">
        <f>'IS (Bull-Case)'!S154-'IS (Base-Case)'!S154</f>
        <v>0</v>
      </c>
      <c r="T154" s="101">
        <f>'IS (Bull-Case)'!T154-'IS (Base-Case)'!T154</f>
        <v>0</v>
      </c>
      <c r="U154" s="101">
        <f>'IS (Bull-Case)'!U154-'IS (Base-Case)'!U154</f>
        <v>0</v>
      </c>
      <c r="V154" s="33">
        <f>'IS (Bull-Case)'!V154-'IS (Base-Case)'!V154</f>
        <v>0</v>
      </c>
      <c r="W154" s="169">
        <f>'IS (Bull-Case)'!W154-'IS (Base-Case)'!W154</f>
        <v>0</v>
      </c>
      <c r="X154" s="33">
        <f>'IS (Bull-Case)'!X154-'IS (Base-Case)'!X154</f>
        <v>0</v>
      </c>
      <c r="Y154" s="33">
        <f>'IS (Bull-Case)'!Y154-'IS (Base-Case)'!Y154</f>
        <v>0</v>
      </c>
      <c r="Z154" s="33">
        <f>'IS (Bull-Case)'!Z154-'IS (Base-Case)'!Z154</f>
        <v>0</v>
      </c>
      <c r="AA154" s="33">
        <f>'IS (Bull-Case)'!AA154-'IS (Base-Case)'!AA154</f>
        <v>0</v>
      </c>
      <c r="AB154" s="17">
        <f>'IS (Bull-Case)'!AB154-'IS (Base-Case)'!AB154</f>
        <v>0</v>
      </c>
      <c r="AC154" s="33">
        <f>'IS (Bull-Case)'!AC154-'IS (Base-Case)'!AC154</f>
        <v>0</v>
      </c>
      <c r="AD154" s="33">
        <f>'IS (Bull-Case)'!AD154-'IS (Base-Case)'!AD154</f>
        <v>0</v>
      </c>
      <c r="AE154" s="33">
        <f>'IS (Bull-Case)'!AE154-'IS (Base-Case)'!AE154</f>
        <v>0</v>
      </c>
      <c r="AF154" s="33">
        <f>'IS (Bull-Case)'!AF154-'IS (Base-Case)'!AF154</f>
        <v>0</v>
      </c>
      <c r="AG154" s="17">
        <f>'IS (Bull-Case)'!AG154-'IS (Base-Case)'!AG154</f>
        <v>0</v>
      </c>
      <c r="AH154" s="33">
        <f>'IS (Bull-Case)'!AH154-'IS (Base-Case)'!AH154</f>
        <v>0</v>
      </c>
      <c r="AI154" s="33">
        <f>'IS (Bull-Case)'!AI154-'IS (Base-Case)'!AI154</f>
        <v>0</v>
      </c>
      <c r="AJ154" s="33">
        <f>'IS (Bull-Case)'!AJ154-'IS (Base-Case)'!AJ154</f>
        <v>-1466.3660628610346</v>
      </c>
      <c r="AK154" s="33">
        <f>'IS (Bull-Case)'!AK154-'IS (Base-Case)'!AK154</f>
        <v>-1466.3660628610346</v>
      </c>
      <c r="AL154" s="17">
        <f>'IS (Bull-Case)'!AL154-'IS (Base-Case)'!AL154</f>
        <v>-2932.7321257220692</v>
      </c>
      <c r="AM154" s="33">
        <f>'IS (Bull-Case)'!AM154-'IS (Base-Case)'!AM154</f>
        <v>0</v>
      </c>
      <c r="AN154" s="33">
        <f>'IS (Bull-Case)'!AN154-'IS (Base-Case)'!AN154</f>
        <v>0</v>
      </c>
      <c r="AO154" s="33">
        <f>'IS (Bull-Case)'!AO154-'IS (Base-Case)'!AO154</f>
        <v>0</v>
      </c>
      <c r="AP154" s="33">
        <f>'IS (Bull-Case)'!AP154-'IS (Base-Case)'!AP154</f>
        <v>0</v>
      </c>
      <c r="AQ154" s="17">
        <f>'IS (Bull-Case)'!AQ154-'IS (Base-Case)'!AQ154</f>
        <v>0</v>
      </c>
      <c r="AR154" s="33">
        <f>'IS (Bull-Case)'!AR154-'IS (Base-Case)'!AR154</f>
        <v>0</v>
      </c>
      <c r="AS154" s="33">
        <f>'IS (Bull-Case)'!AS154-'IS (Base-Case)'!AS154</f>
        <v>0</v>
      </c>
      <c r="AT154" s="33">
        <f>'IS (Bull-Case)'!AT154-'IS (Base-Case)'!AT154</f>
        <v>0</v>
      </c>
      <c r="AU154" s="33">
        <f>'IS (Bull-Case)'!AU154-'IS (Base-Case)'!AU154</f>
        <v>0</v>
      </c>
      <c r="AV154" s="17">
        <f>'IS (Bull-Case)'!AV154-'IS (Base-Case)'!AV154</f>
        <v>0</v>
      </c>
    </row>
    <row r="155" spans="2:48" outlineLevel="1" x14ac:dyDescent="0.3">
      <c r="B155" s="435" t="s">
        <v>207</v>
      </c>
      <c r="C155" s="436"/>
      <c r="D155" s="139">
        <f>'IS (Bull-Case)'!D155-'IS (Base-Case)'!D155</f>
        <v>0</v>
      </c>
      <c r="E155" s="139">
        <f>'IS (Bull-Case)'!E155-'IS (Base-Case)'!E155</f>
        <v>0</v>
      </c>
      <c r="F155" s="142">
        <f>'IS (Bull-Case)'!F155-'IS (Base-Case)'!F155</f>
        <v>0</v>
      </c>
      <c r="G155" s="142">
        <f>'IS (Bull-Case)'!G155-'IS (Base-Case)'!G155</f>
        <v>0</v>
      </c>
      <c r="H155" s="49">
        <f>'IS (Bull-Case)'!H155-'IS (Base-Case)'!H155</f>
        <v>0</v>
      </c>
      <c r="I155" s="139">
        <f>'IS (Bull-Case)'!I155-'IS (Base-Case)'!I155</f>
        <v>0</v>
      </c>
      <c r="J155" s="142">
        <f>'IS (Bull-Case)'!J155-'IS (Base-Case)'!J155</f>
        <v>0</v>
      </c>
      <c r="K155" s="139">
        <f>'IS (Bull-Case)'!K155-'IS (Base-Case)'!K155</f>
        <v>0</v>
      </c>
      <c r="L155" s="139">
        <f>'IS (Bull-Case)'!L155-'IS (Base-Case)'!L155</f>
        <v>0</v>
      </c>
      <c r="M155" s="49">
        <f>'IS (Bull-Case)'!M155-'IS (Base-Case)'!M155</f>
        <v>0</v>
      </c>
      <c r="N155" s="139">
        <f>'IS (Bull-Case)'!N155-'IS (Base-Case)'!N155</f>
        <v>0</v>
      </c>
      <c r="O155" s="139">
        <f>'IS (Bull-Case)'!O155-'IS (Base-Case)'!O155</f>
        <v>0</v>
      </c>
      <c r="P155" s="139">
        <f>'IS (Bull-Case)'!P155-'IS (Base-Case)'!P155</f>
        <v>0</v>
      </c>
      <c r="Q155" s="139">
        <f>'IS (Bull-Case)'!Q155-'IS (Base-Case)'!Q155</f>
        <v>0</v>
      </c>
      <c r="R155" s="49">
        <f>'IS (Bull-Case)'!R155-'IS (Base-Case)'!R155</f>
        <v>0</v>
      </c>
      <c r="S155" s="139">
        <f>'IS (Bull-Case)'!S155-'IS (Base-Case)'!S155</f>
        <v>0</v>
      </c>
      <c r="T155" s="142">
        <f>'IS (Bull-Case)'!T155-'IS (Base-Case)'!T155</f>
        <v>0</v>
      </c>
      <c r="U155" s="142">
        <f>'IS (Bull-Case)'!U155-'IS (Base-Case)'!U155</f>
        <v>0</v>
      </c>
      <c r="V155" s="139">
        <f>'IS (Bull-Case)'!V155-'IS (Base-Case)'!V155</f>
        <v>0</v>
      </c>
      <c r="W155" s="49">
        <f>'IS (Bull-Case)'!W155-'IS (Base-Case)'!W155</f>
        <v>0</v>
      </c>
      <c r="X155" s="139">
        <f>'IS (Bull-Case)'!X155-'IS (Base-Case)'!X155</f>
        <v>0</v>
      </c>
      <c r="Y155" s="139">
        <f>'IS (Bull-Case)'!Y155-'IS (Base-Case)'!Y155</f>
        <v>0</v>
      </c>
      <c r="Z155" s="139">
        <f>'IS (Bull-Case)'!Z155-'IS (Base-Case)'!Z155</f>
        <v>0</v>
      </c>
      <c r="AA155" s="139">
        <f>'IS (Bull-Case)'!AA155-'IS (Base-Case)'!AA155</f>
        <v>0</v>
      </c>
      <c r="AB155" s="49">
        <f>'IS (Bull-Case)'!AB155-'IS (Base-Case)'!AB155</f>
        <v>0</v>
      </c>
      <c r="AC155" s="139">
        <f>'IS (Bull-Case)'!AC155-'IS (Base-Case)'!AC155</f>
        <v>0</v>
      </c>
      <c r="AD155" s="139">
        <f>'IS (Bull-Case)'!AD155-'IS (Base-Case)'!AD155</f>
        <v>0</v>
      </c>
      <c r="AE155" s="139">
        <f>'IS (Bull-Case)'!AE155-'IS (Base-Case)'!AE155</f>
        <v>-1.1147730010730217E-2</v>
      </c>
      <c r="AF155" s="139">
        <f>'IS (Bull-Case)'!AF155-'IS (Base-Case)'!AF155</f>
        <v>-1.1147730010730217E-2</v>
      </c>
      <c r="AG155" s="49">
        <f>'IS (Bull-Case)'!AG155-'IS (Base-Case)'!AG155</f>
        <v>-2.2295460021460434E-2</v>
      </c>
      <c r="AH155" s="139">
        <f>'IS (Bull-Case)'!AH155-'IS (Base-Case)'!AH155</f>
        <v>-3.9572028609518251E-2</v>
      </c>
      <c r="AI155" s="139">
        <f>'IS (Bull-Case)'!AI155-'IS (Base-Case)'!AI155</f>
        <v>-3.9572028609518251E-2</v>
      </c>
      <c r="AJ155" s="139">
        <f>'IS (Bull-Case)'!AJ155-'IS (Base-Case)'!AJ155</f>
        <v>-14.239870761348389</v>
      </c>
      <c r="AK155" s="139">
        <f>'IS (Bull-Case)'!AK155-'IS (Base-Case)'!AK155</f>
        <v>-14.239870761348389</v>
      </c>
      <c r="AL155" s="49">
        <f>'IS (Bull-Case)'!AL155-'IS (Base-Case)'!AL155</f>
        <v>-28.55888557991581</v>
      </c>
      <c r="AM155" s="139">
        <f>'IS (Bull-Case)'!AM155-'IS (Base-Case)'!AM155</f>
        <v>-9.492224346632816E-2</v>
      </c>
      <c r="AN155" s="139">
        <f>'IS (Bull-Case)'!AN155-'IS (Base-Case)'!AN155</f>
        <v>-9.492224346632816E-2</v>
      </c>
      <c r="AO155" s="139">
        <f>'IS (Bull-Case)'!AO155-'IS (Base-Case)'!AO155</f>
        <v>-9.492224346632816E-2</v>
      </c>
      <c r="AP155" s="139">
        <f>'IS (Bull-Case)'!AP155-'IS (Base-Case)'!AP155</f>
        <v>-9.492224346632816E-2</v>
      </c>
      <c r="AQ155" s="49">
        <f>'IS (Bull-Case)'!AQ155-'IS (Base-Case)'!AQ155</f>
        <v>-0.37968897386531264</v>
      </c>
      <c r="AR155" s="139">
        <f>'IS (Bull-Case)'!AR155-'IS (Base-Case)'!AR155</f>
        <v>-9.3061023006204335E-2</v>
      </c>
      <c r="AS155" s="139">
        <f>'IS (Bull-Case)'!AS155-'IS (Base-Case)'!AS155</f>
        <v>-9.3061023006204335E-2</v>
      </c>
      <c r="AT155" s="139">
        <f>'IS (Bull-Case)'!AT155-'IS (Base-Case)'!AT155</f>
        <v>-9.3061023006204335E-2</v>
      </c>
      <c r="AU155" s="139">
        <f>'IS (Bull-Case)'!AU155-'IS (Base-Case)'!AU155</f>
        <v>-9.3061023006204335E-2</v>
      </c>
      <c r="AV155" s="49">
        <f>'IS (Bull-Case)'!AV155-'IS (Base-Case)'!AV155</f>
        <v>-0.37224409202481734</v>
      </c>
    </row>
    <row r="156" spans="2:48" outlineLevel="1" x14ac:dyDescent="0.3">
      <c r="B156" s="439" t="s">
        <v>131</v>
      </c>
      <c r="C156" s="440"/>
      <c r="D156" s="143">
        <f>'IS (Bull-Case)'!D156-'IS (Base-Case)'!D156</f>
        <v>0</v>
      </c>
      <c r="E156" s="144">
        <f>'IS (Bull-Case)'!E156-'IS (Base-Case)'!E156</f>
        <v>0</v>
      </c>
      <c r="F156" s="96">
        <f>'IS (Bull-Case)'!F156-'IS (Base-Case)'!F156</f>
        <v>0</v>
      </c>
      <c r="G156" s="96">
        <f>'IS (Bull-Case)'!G156-'IS (Base-Case)'!G156</f>
        <v>0</v>
      </c>
      <c r="H156" s="76">
        <f>'IS (Bull-Case)'!H156-'IS (Base-Case)'!H156</f>
        <v>0</v>
      </c>
      <c r="I156" s="96">
        <f>'IS (Bull-Case)'!I156-'IS (Base-Case)'!I156</f>
        <v>0</v>
      </c>
      <c r="J156" s="96">
        <f>'IS (Bull-Case)'!J156-'IS (Base-Case)'!J156</f>
        <v>0</v>
      </c>
      <c r="K156" s="96">
        <f>'IS (Bull-Case)'!K156-'IS (Base-Case)'!K156</f>
        <v>0</v>
      </c>
      <c r="L156" s="96">
        <f>'IS (Bull-Case)'!L156-'IS (Base-Case)'!L156</f>
        <v>0</v>
      </c>
      <c r="M156" s="76">
        <f>'IS (Bull-Case)'!M156-'IS (Base-Case)'!M156</f>
        <v>0</v>
      </c>
      <c r="N156" s="96">
        <f>'IS (Bull-Case)'!N156-'IS (Base-Case)'!N156</f>
        <v>0</v>
      </c>
      <c r="O156" s="96">
        <f>'IS (Bull-Case)'!O156-'IS (Base-Case)'!O156</f>
        <v>0</v>
      </c>
      <c r="P156" s="96">
        <f>'IS (Bull-Case)'!P156-'IS (Base-Case)'!P156</f>
        <v>0</v>
      </c>
      <c r="Q156" s="96">
        <f>'IS (Bull-Case)'!Q156-'IS (Base-Case)'!Q156</f>
        <v>0</v>
      </c>
      <c r="R156" s="76">
        <f>'IS (Bull-Case)'!R156-'IS (Base-Case)'!R156</f>
        <v>0</v>
      </c>
      <c r="S156" s="96">
        <f>'IS (Bull-Case)'!S156-'IS (Base-Case)'!S156</f>
        <v>0</v>
      </c>
      <c r="T156" s="96">
        <f>'IS (Bull-Case)'!T156-'IS (Base-Case)'!T156</f>
        <v>0</v>
      </c>
      <c r="U156" s="96">
        <f>'IS (Bull-Case)'!U156-'IS (Base-Case)'!U156</f>
        <v>0</v>
      </c>
      <c r="V156" s="96">
        <f>'IS (Bull-Case)'!V156-'IS (Base-Case)'!V156</f>
        <v>0</v>
      </c>
      <c r="W156" s="76">
        <f>'IS (Bull-Case)'!W156-'IS (Base-Case)'!W156</f>
        <v>0</v>
      </c>
      <c r="X156" s="96">
        <f>'IS (Bull-Case)'!X156-'IS (Base-Case)'!X156</f>
        <v>0</v>
      </c>
      <c r="Y156" s="96">
        <f>'IS (Bull-Case)'!Y156-'IS (Base-Case)'!Y156</f>
        <v>0</v>
      </c>
      <c r="Z156" s="96">
        <f>'IS (Bull-Case)'!Z156-'IS (Base-Case)'!Z156</f>
        <v>0</v>
      </c>
      <c r="AA156" s="96">
        <f>'IS (Bull-Case)'!AA156-'IS (Base-Case)'!AA156</f>
        <v>0</v>
      </c>
      <c r="AB156" s="76">
        <f>'IS (Bull-Case)'!AB156-'IS (Base-Case)'!AB156</f>
        <v>0</v>
      </c>
      <c r="AC156" s="96">
        <f>'IS (Bull-Case)'!AC156-'IS (Base-Case)'!AC156</f>
        <v>0</v>
      </c>
      <c r="AD156" s="96">
        <f>'IS (Bull-Case)'!AD156-'IS (Base-Case)'!AD156</f>
        <v>0</v>
      </c>
      <c r="AE156" s="96">
        <f>'IS (Bull-Case)'!AE156-'IS (Base-Case)'!AE156</f>
        <v>0</v>
      </c>
      <c r="AF156" s="96">
        <f>'IS (Bull-Case)'!AF156-'IS (Base-Case)'!AF156</f>
        <v>0</v>
      </c>
      <c r="AG156" s="76">
        <f>'IS (Bull-Case)'!AG156-'IS (Base-Case)'!AG156</f>
        <v>0</v>
      </c>
      <c r="AH156" s="96">
        <f>'IS (Bull-Case)'!AH156-'IS (Base-Case)'!AH156</f>
        <v>0</v>
      </c>
      <c r="AI156" s="96">
        <f>'IS (Bull-Case)'!AI156-'IS (Base-Case)'!AI156</f>
        <v>0</v>
      </c>
      <c r="AJ156" s="96">
        <f>'IS (Bull-Case)'!AJ156-'IS (Base-Case)'!AJ156</f>
        <v>0</v>
      </c>
      <c r="AK156" s="96">
        <f>'IS (Bull-Case)'!AK156-'IS (Base-Case)'!AK156</f>
        <v>0</v>
      </c>
      <c r="AL156" s="76">
        <f>'IS (Bull-Case)'!AL156-'IS (Base-Case)'!AL156</f>
        <v>0</v>
      </c>
      <c r="AM156" s="96">
        <f>'IS (Bull-Case)'!AM156-'IS (Base-Case)'!AM156</f>
        <v>0</v>
      </c>
      <c r="AN156" s="96">
        <f>'IS (Bull-Case)'!AN156-'IS (Base-Case)'!AN156</f>
        <v>0</v>
      </c>
      <c r="AO156" s="96">
        <f>'IS (Bull-Case)'!AO156-'IS (Base-Case)'!AO156</f>
        <v>0</v>
      </c>
      <c r="AP156" s="96">
        <f>'IS (Bull-Case)'!AP156-'IS (Base-Case)'!AP156</f>
        <v>0</v>
      </c>
      <c r="AQ156" s="76">
        <f>'IS (Bull-Case)'!AQ156-'IS (Base-Case)'!AQ156</f>
        <v>0</v>
      </c>
      <c r="AR156" s="96">
        <f>'IS (Bull-Case)'!AR156-'IS (Base-Case)'!AR156</f>
        <v>0</v>
      </c>
      <c r="AS156" s="96">
        <f>'IS (Bull-Case)'!AS156-'IS (Base-Case)'!AS156</f>
        <v>0</v>
      </c>
      <c r="AT156" s="96">
        <f>'IS (Bull-Case)'!AT156-'IS (Base-Case)'!AT156</f>
        <v>0</v>
      </c>
      <c r="AU156" s="96">
        <f>'IS (Bull-Case)'!AU156-'IS (Base-Case)'!AU156</f>
        <v>0</v>
      </c>
      <c r="AV156" s="76">
        <f>'IS (Bull-Case)'!AV156-'IS (Base-Case)'!AV156</f>
        <v>0</v>
      </c>
    </row>
    <row r="157" spans="2:48" outlineLevel="1" x14ac:dyDescent="0.3">
      <c r="B157" s="441" t="s">
        <v>132</v>
      </c>
      <c r="C157" s="442"/>
      <c r="D157" s="145">
        <f>'IS (Bull-Case)'!D157-'IS (Base-Case)'!D157</f>
        <v>0</v>
      </c>
      <c r="E157" s="146">
        <f>'IS (Bull-Case)'!E157-'IS (Base-Case)'!E157</f>
        <v>0</v>
      </c>
      <c r="F157" s="139">
        <f>'IS (Bull-Case)'!F157-'IS (Base-Case)'!F157</f>
        <v>0</v>
      </c>
      <c r="G157" s="139">
        <f>'IS (Bull-Case)'!G157-'IS (Base-Case)'!G157</f>
        <v>0</v>
      </c>
      <c r="H157" s="49">
        <f>'IS (Bull-Case)'!H157-'IS (Base-Case)'!H157</f>
        <v>0</v>
      </c>
      <c r="I157" s="139">
        <f>'IS (Bull-Case)'!I157-'IS (Base-Case)'!I157</f>
        <v>0</v>
      </c>
      <c r="J157" s="139">
        <f>'IS (Bull-Case)'!J157-'IS (Base-Case)'!J157</f>
        <v>0</v>
      </c>
      <c r="K157" s="139">
        <f>'IS (Bull-Case)'!K157-'IS (Base-Case)'!K157</f>
        <v>0</v>
      </c>
      <c r="L157" s="139">
        <f>'IS (Bull-Case)'!L157-'IS (Base-Case)'!L157</f>
        <v>0</v>
      </c>
      <c r="M157" s="49">
        <f>'IS (Bull-Case)'!M157-'IS (Base-Case)'!M157</f>
        <v>0</v>
      </c>
      <c r="N157" s="139">
        <f>'IS (Bull-Case)'!N157-'IS (Base-Case)'!N157</f>
        <v>0</v>
      </c>
      <c r="O157" s="139">
        <f>'IS (Bull-Case)'!O157-'IS (Base-Case)'!O157</f>
        <v>0</v>
      </c>
      <c r="P157" s="139">
        <f>'IS (Bull-Case)'!P157-'IS (Base-Case)'!P157</f>
        <v>0</v>
      </c>
      <c r="Q157" s="139">
        <f>'IS (Bull-Case)'!Q157-'IS (Base-Case)'!Q157</f>
        <v>0</v>
      </c>
      <c r="R157" s="49">
        <f>'IS (Bull-Case)'!R157-'IS (Base-Case)'!R157</f>
        <v>0</v>
      </c>
      <c r="S157" s="139">
        <f>'IS (Bull-Case)'!S157-'IS (Base-Case)'!S157</f>
        <v>0</v>
      </c>
      <c r="T157" s="139">
        <f>'IS (Bull-Case)'!T157-'IS (Base-Case)'!T157</f>
        <v>0</v>
      </c>
      <c r="U157" s="142">
        <f>'IS (Bull-Case)'!U157-'IS (Base-Case)'!U157</f>
        <v>0</v>
      </c>
      <c r="V157" s="139">
        <f>'IS (Bull-Case)'!V157-'IS (Base-Case)'!V157</f>
        <v>0</v>
      </c>
      <c r="W157" s="137">
        <f>'IS (Bull-Case)'!W157-'IS (Base-Case)'!W157</f>
        <v>0</v>
      </c>
      <c r="X157" s="139">
        <f>'IS (Bull-Case)'!X157-'IS (Base-Case)'!X157</f>
        <v>0</v>
      </c>
      <c r="Y157" s="139">
        <f>'IS (Bull-Case)'!Y157-'IS (Base-Case)'!Y157</f>
        <v>0</v>
      </c>
      <c r="Z157" s="139">
        <f>'IS (Bull-Case)'!Z157-'IS (Base-Case)'!Z157</f>
        <v>0</v>
      </c>
      <c r="AA157" s="139">
        <f>'IS (Bull-Case)'!AA157-'IS (Base-Case)'!AA157</f>
        <v>0</v>
      </c>
      <c r="AB157" s="49">
        <f>'IS (Bull-Case)'!AB157-'IS (Base-Case)'!AB157</f>
        <v>0</v>
      </c>
      <c r="AC157" s="139">
        <f>'IS (Bull-Case)'!AC157-'IS (Base-Case)'!AC157</f>
        <v>0</v>
      </c>
      <c r="AD157" s="139">
        <f>'IS (Bull-Case)'!AD157-'IS (Base-Case)'!AD157</f>
        <v>0</v>
      </c>
      <c r="AE157" s="139">
        <f>'IS (Bull-Case)'!AE157-'IS (Base-Case)'!AE157</f>
        <v>0</v>
      </c>
      <c r="AF157" s="139">
        <f>'IS (Bull-Case)'!AF157-'IS (Base-Case)'!AF157</f>
        <v>0</v>
      </c>
      <c r="AG157" s="49">
        <f>'IS (Bull-Case)'!AG157-'IS (Base-Case)'!AG157</f>
        <v>0</v>
      </c>
      <c r="AH157" s="139">
        <f>'IS (Bull-Case)'!AH157-'IS (Base-Case)'!AH157</f>
        <v>0</v>
      </c>
      <c r="AI157" s="139">
        <f>'IS (Bull-Case)'!AI157-'IS (Base-Case)'!AI157</f>
        <v>0</v>
      </c>
      <c r="AJ157" s="139">
        <f>'IS (Bull-Case)'!AJ157-'IS (Base-Case)'!AJ157</f>
        <v>0</v>
      </c>
      <c r="AK157" s="139">
        <f>'IS (Bull-Case)'!AK157-'IS (Base-Case)'!AK157</f>
        <v>0</v>
      </c>
      <c r="AL157" s="49">
        <f>'IS (Bull-Case)'!AL157-'IS (Base-Case)'!AL157</f>
        <v>0</v>
      </c>
      <c r="AM157" s="139">
        <f>'IS (Bull-Case)'!AM157-'IS (Base-Case)'!AM157</f>
        <v>0</v>
      </c>
      <c r="AN157" s="139">
        <f>'IS (Bull-Case)'!AN157-'IS (Base-Case)'!AN157</f>
        <v>0</v>
      </c>
      <c r="AO157" s="139">
        <f>'IS (Bull-Case)'!AO157-'IS (Base-Case)'!AO157</f>
        <v>0</v>
      </c>
      <c r="AP157" s="139">
        <f>'IS (Bull-Case)'!AP157-'IS (Base-Case)'!AP157</f>
        <v>0</v>
      </c>
      <c r="AQ157" s="49">
        <f>'IS (Bull-Case)'!AQ157-'IS (Base-Case)'!AQ157</f>
        <v>0</v>
      </c>
      <c r="AR157" s="139">
        <f>'IS (Bull-Case)'!AR157-'IS (Base-Case)'!AR157</f>
        <v>0</v>
      </c>
      <c r="AS157" s="139">
        <f>'IS (Bull-Case)'!AS157-'IS (Base-Case)'!AS157</f>
        <v>0</v>
      </c>
      <c r="AT157" s="139">
        <f>'IS (Bull-Case)'!AT157-'IS (Base-Case)'!AT157</f>
        <v>0</v>
      </c>
      <c r="AU157" s="139">
        <f>'IS (Bull-Case)'!AU157-'IS (Base-Case)'!AU157</f>
        <v>0</v>
      </c>
      <c r="AV157" s="49">
        <f>'IS (Bull-Case)'!AV157-'IS (Base-Case)'!AV157</f>
        <v>0</v>
      </c>
    </row>
    <row r="158" spans="2:48" outlineLevel="1" x14ac:dyDescent="0.3">
      <c r="B158" s="437" t="s">
        <v>133</v>
      </c>
      <c r="C158" s="438"/>
      <c r="D158" s="147">
        <f>'IS (Bull-Case)'!D158-'IS (Base-Case)'!D158</f>
        <v>0</v>
      </c>
      <c r="E158" s="140">
        <f>'IS (Bull-Case)'!E158-'IS (Base-Case)'!E158</f>
        <v>0</v>
      </c>
      <c r="F158" s="140">
        <f>'IS (Bull-Case)'!F158-'IS (Base-Case)'!F158</f>
        <v>0</v>
      </c>
      <c r="G158" s="140">
        <f>'IS (Bull-Case)'!G158-'IS (Base-Case)'!G158</f>
        <v>0</v>
      </c>
      <c r="H158" s="141">
        <f>'IS (Bull-Case)'!H158-'IS (Base-Case)'!H158</f>
        <v>0</v>
      </c>
      <c r="I158" s="140">
        <f>'IS (Bull-Case)'!I158-'IS (Base-Case)'!I158</f>
        <v>0</v>
      </c>
      <c r="J158" s="140">
        <f>'IS (Bull-Case)'!J158-'IS (Base-Case)'!J158</f>
        <v>0</v>
      </c>
      <c r="K158" s="140">
        <f>'IS (Bull-Case)'!K158-'IS (Base-Case)'!K158</f>
        <v>0</v>
      </c>
      <c r="L158" s="140">
        <f>'IS (Bull-Case)'!L158-'IS (Base-Case)'!L158</f>
        <v>0</v>
      </c>
      <c r="M158" s="141">
        <f>'IS (Bull-Case)'!M158-'IS (Base-Case)'!M158</f>
        <v>0</v>
      </c>
      <c r="N158" s="140">
        <f>'IS (Bull-Case)'!N158-'IS (Base-Case)'!N158</f>
        <v>0</v>
      </c>
      <c r="O158" s="140">
        <f>'IS (Bull-Case)'!O158-'IS (Base-Case)'!O158</f>
        <v>0</v>
      </c>
      <c r="P158" s="140">
        <f>'IS (Bull-Case)'!P158-'IS (Base-Case)'!P158</f>
        <v>0</v>
      </c>
      <c r="Q158" s="140">
        <f>'IS (Bull-Case)'!Q158-'IS (Base-Case)'!Q158</f>
        <v>0</v>
      </c>
      <c r="R158" s="141">
        <f>'IS (Bull-Case)'!R158-'IS (Base-Case)'!R158</f>
        <v>0</v>
      </c>
      <c r="S158" s="140">
        <f>'IS (Bull-Case)'!S158-'IS (Base-Case)'!S158</f>
        <v>0</v>
      </c>
      <c r="T158" s="140">
        <f>'IS (Bull-Case)'!T158-'IS (Base-Case)'!T158</f>
        <v>0</v>
      </c>
      <c r="U158" s="140">
        <f>'IS (Bull-Case)'!U158-'IS (Base-Case)'!U158</f>
        <v>0</v>
      </c>
      <c r="V158" s="140">
        <f>'IS (Bull-Case)'!V158-'IS (Base-Case)'!V158</f>
        <v>0</v>
      </c>
      <c r="W158" s="199">
        <f>'IS (Bull-Case)'!W158-'IS (Base-Case)'!W158</f>
        <v>0</v>
      </c>
      <c r="X158" s="140">
        <f>'IS (Bull-Case)'!X158-'IS (Base-Case)'!X158</f>
        <v>0</v>
      </c>
      <c r="Y158" s="140">
        <f>'IS (Bull-Case)'!Y158-'IS (Base-Case)'!Y158</f>
        <v>0</v>
      </c>
      <c r="Z158" s="140">
        <f>'IS (Bull-Case)'!Z158-'IS (Base-Case)'!Z158</f>
        <v>0</v>
      </c>
      <c r="AA158" s="140">
        <f>'IS (Bull-Case)'!AA158-'IS (Base-Case)'!AA158</f>
        <v>0</v>
      </c>
      <c r="AB158" s="141">
        <f>'IS (Bull-Case)'!AB158-'IS (Base-Case)'!AB158</f>
        <v>0</v>
      </c>
      <c r="AC158" s="140">
        <f>'IS (Bull-Case)'!AC158-'IS (Base-Case)'!AC158</f>
        <v>0</v>
      </c>
      <c r="AD158" s="140">
        <f>'IS (Bull-Case)'!AD158-'IS (Base-Case)'!AD158</f>
        <v>0</v>
      </c>
      <c r="AE158" s="140">
        <f>'IS (Bull-Case)'!AE158-'IS (Base-Case)'!AE158</f>
        <v>0</v>
      </c>
      <c r="AF158" s="140">
        <f>'IS (Bull-Case)'!AF158-'IS (Base-Case)'!AF158</f>
        <v>0</v>
      </c>
      <c r="AG158" s="141">
        <f>'IS (Bull-Case)'!AG158-'IS (Base-Case)'!AG158</f>
        <v>0</v>
      </c>
      <c r="AH158" s="140">
        <f>'IS (Bull-Case)'!AH158-'IS (Base-Case)'!AH158</f>
        <v>0</v>
      </c>
      <c r="AI158" s="140">
        <f>'IS (Bull-Case)'!AI158-'IS (Base-Case)'!AI158</f>
        <v>0</v>
      </c>
      <c r="AJ158" s="140">
        <f>'IS (Bull-Case)'!AJ158-'IS (Base-Case)'!AJ158</f>
        <v>0</v>
      </c>
      <c r="AK158" s="140">
        <f>'IS (Bull-Case)'!AK158-'IS (Base-Case)'!AK158</f>
        <v>0</v>
      </c>
      <c r="AL158" s="141">
        <f>'IS (Bull-Case)'!AL158-'IS (Base-Case)'!AL158</f>
        <v>0</v>
      </c>
      <c r="AM158" s="140">
        <f>'IS (Bull-Case)'!AM158-'IS (Base-Case)'!AM158</f>
        <v>0</v>
      </c>
      <c r="AN158" s="140">
        <f>'IS (Bull-Case)'!AN158-'IS (Base-Case)'!AN158</f>
        <v>0</v>
      </c>
      <c r="AO158" s="140">
        <f>'IS (Bull-Case)'!AO158-'IS (Base-Case)'!AO158</f>
        <v>0</v>
      </c>
      <c r="AP158" s="140">
        <f>'IS (Bull-Case)'!AP158-'IS (Base-Case)'!AP158</f>
        <v>0</v>
      </c>
      <c r="AQ158" s="141">
        <f>'IS (Bull-Case)'!AQ158-'IS (Base-Case)'!AQ158</f>
        <v>0</v>
      </c>
      <c r="AR158" s="140">
        <f>'IS (Bull-Case)'!AR158-'IS (Base-Case)'!AR158</f>
        <v>0</v>
      </c>
      <c r="AS158" s="140">
        <f>'IS (Bull-Case)'!AS158-'IS (Base-Case)'!AS158</f>
        <v>0</v>
      </c>
      <c r="AT158" s="140">
        <f>'IS (Bull-Case)'!AT158-'IS (Base-Case)'!AT158</f>
        <v>0</v>
      </c>
      <c r="AU158" s="140">
        <f>'IS (Bull-Case)'!AU158-'IS (Base-Case)'!AU158</f>
        <v>0</v>
      </c>
      <c r="AV158" s="141">
        <f>'IS (Bull-Case)'!AV158-'IS (Base-Case)'!AV158</f>
        <v>0</v>
      </c>
    </row>
    <row r="159" spans="2:48" outlineLevel="1" x14ac:dyDescent="0.3">
      <c r="B159" s="200" t="s">
        <v>134</v>
      </c>
      <c r="C159" s="201"/>
      <c r="D159" s="139">
        <f>'IS (Bull-Case)'!D159-'IS (Base-Case)'!D159</f>
        <v>0</v>
      </c>
      <c r="E159" s="36">
        <f>'IS (Bull-Case)'!E159-'IS (Base-Case)'!E159</f>
        <v>0</v>
      </c>
      <c r="F159" s="36">
        <f>'IS (Bull-Case)'!F159-'IS (Base-Case)'!F159</f>
        <v>0</v>
      </c>
      <c r="G159" s="139">
        <f>'IS (Bull-Case)'!G159-'IS (Base-Case)'!G159</f>
        <v>0</v>
      </c>
      <c r="H159" s="49">
        <f>'IS (Bull-Case)'!H159-'IS (Base-Case)'!H159</f>
        <v>0</v>
      </c>
      <c r="I159" s="139">
        <f>'IS (Bull-Case)'!I159-'IS (Base-Case)'!I159</f>
        <v>0</v>
      </c>
      <c r="J159" s="139">
        <f>'IS (Bull-Case)'!J159-'IS (Base-Case)'!J159</f>
        <v>0</v>
      </c>
      <c r="K159" s="139">
        <f>'IS (Bull-Case)'!K159-'IS (Base-Case)'!K159</f>
        <v>0</v>
      </c>
      <c r="L159" s="139">
        <f>'IS (Bull-Case)'!L159-'IS (Base-Case)'!L159</f>
        <v>0</v>
      </c>
      <c r="M159" s="49">
        <f>'IS (Bull-Case)'!M159-'IS (Base-Case)'!M159</f>
        <v>0</v>
      </c>
      <c r="N159" s="139">
        <f>'IS (Bull-Case)'!N159-'IS (Base-Case)'!N159</f>
        <v>0</v>
      </c>
      <c r="O159" s="139">
        <f>'IS (Bull-Case)'!O159-'IS (Base-Case)'!O159</f>
        <v>0</v>
      </c>
      <c r="P159" s="139">
        <f>'IS (Bull-Case)'!P159-'IS (Base-Case)'!P159</f>
        <v>0</v>
      </c>
      <c r="Q159" s="139">
        <f>'IS (Bull-Case)'!Q159-'IS (Base-Case)'!Q159</f>
        <v>0</v>
      </c>
      <c r="R159" s="49">
        <f>'IS (Bull-Case)'!R159-'IS (Base-Case)'!R159</f>
        <v>0</v>
      </c>
      <c r="S159" s="139">
        <f>'IS (Bull-Case)'!S159-'IS (Base-Case)'!S159</f>
        <v>0</v>
      </c>
      <c r="T159" s="139">
        <f>'IS (Bull-Case)'!T159-'IS (Base-Case)'!T159</f>
        <v>0</v>
      </c>
      <c r="U159" s="139">
        <f>'IS (Bull-Case)'!U159-'IS (Base-Case)'!U159</f>
        <v>0</v>
      </c>
      <c r="V159" s="139">
        <f>'IS (Bull-Case)'!V159-'IS (Base-Case)'!V159</f>
        <v>0</v>
      </c>
      <c r="W159" s="49">
        <f>'IS (Bull-Case)'!W159-'IS (Base-Case)'!W159</f>
        <v>0</v>
      </c>
      <c r="X159" s="139">
        <f>'IS (Bull-Case)'!X159-'IS (Base-Case)'!X159</f>
        <v>0</v>
      </c>
      <c r="Y159" s="139">
        <f>'IS (Bull-Case)'!Y159-'IS (Base-Case)'!Y159</f>
        <v>0</v>
      </c>
      <c r="Z159" s="139">
        <f>'IS (Bull-Case)'!Z159-'IS (Base-Case)'!Z159</f>
        <v>0</v>
      </c>
      <c r="AA159" s="139">
        <f>'IS (Bull-Case)'!AA159-'IS (Base-Case)'!AA159</f>
        <v>0</v>
      </c>
      <c r="AB159" s="49">
        <f>'IS (Bull-Case)'!AB159-'IS (Base-Case)'!AB159</f>
        <v>0</v>
      </c>
      <c r="AC159" s="139">
        <f>'IS (Bull-Case)'!AC159-'IS (Base-Case)'!AC159</f>
        <v>0</v>
      </c>
      <c r="AD159" s="139">
        <f>'IS (Bull-Case)'!AD159-'IS (Base-Case)'!AD159</f>
        <v>0</v>
      </c>
      <c r="AE159" s="139">
        <f>'IS (Bull-Case)'!AE159-'IS (Base-Case)'!AE159</f>
        <v>0</v>
      </c>
      <c r="AF159" s="139">
        <f>'IS (Bull-Case)'!AF159-'IS (Base-Case)'!AF159</f>
        <v>0</v>
      </c>
      <c r="AG159" s="49">
        <f>'IS (Bull-Case)'!AG159-'IS (Base-Case)'!AG159</f>
        <v>0</v>
      </c>
      <c r="AH159" s="139">
        <f>'IS (Bull-Case)'!AH159-'IS (Base-Case)'!AH159</f>
        <v>0</v>
      </c>
      <c r="AI159" s="139">
        <f>'IS (Bull-Case)'!AI159-'IS (Base-Case)'!AI159</f>
        <v>0</v>
      </c>
      <c r="AJ159" s="139">
        <f>'IS (Bull-Case)'!AJ159-'IS (Base-Case)'!AJ159</f>
        <v>0</v>
      </c>
      <c r="AK159" s="139">
        <f>'IS (Bull-Case)'!AK159-'IS (Base-Case)'!AK159</f>
        <v>0</v>
      </c>
      <c r="AL159" s="49">
        <f>'IS (Bull-Case)'!AL159-'IS (Base-Case)'!AL159</f>
        <v>0</v>
      </c>
      <c r="AM159" s="139">
        <f>'IS (Bull-Case)'!AM159-'IS (Base-Case)'!AM159</f>
        <v>0</v>
      </c>
      <c r="AN159" s="139">
        <f>'IS (Bull-Case)'!AN159-'IS (Base-Case)'!AN159</f>
        <v>0</v>
      </c>
      <c r="AO159" s="139">
        <f>'IS (Bull-Case)'!AO159-'IS (Base-Case)'!AO159</f>
        <v>0</v>
      </c>
      <c r="AP159" s="139">
        <f>'IS (Bull-Case)'!AP159-'IS (Base-Case)'!AP159</f>
        <v>0</v>
      </c>
      <c r="AQ159" s="49">
        <f>'IS (Bull-Case)'!AQ159-'IS (Base-Case)'!AQ159</f>
        <v>0</v>
      </c>
      <c r="AR159" s="139">
        <f>'IS (Bull-Case)'!AR159-'IS (Base-Case)'!AR159</f>
        <v>0</v>
      </c>
      <c r="AS159" s="139">
        <f>'IS (Bull-Case)'!AS159-'IS (Base-Case)'!AS159</f>
        <v>0</v>
      </c>
      <c r="AT159" s="139">
        <f>'IS (Bull-Case)'!AT159-'IS (Base-Case)'!AT159</f>
        <v>0</v>
      </c>
      <c r="AU159" s="139">
        <f>'IS (Bull-Case)'!AU159-'IS (Base-Case)'!AU159</f>
        <v>0</v>
      </c>
      <c r="AV159" s="49">
        <f>'IS (Bull-Case)'!AV159-'IS (Base-Case)'!AV159</f>
        <v>0</v>
      </c>
    </row>
    <row r="160" spans="2:48" outlineLevel="1" x14ac:dyDescent="0.3">
      <c r="B160" s="200" t="s">
        <v>135</v>
      </c>
      <c r="C160" s="201"/>
      <c r="D160" s="139">
        <f>'IS (Bull-Case)'!D160-'IS (Base-Case)'!D160</f>
        <v>0</v>
      </c>
      <c r="E160" s="16">
        <f>'IS (Bull-Case)'!E160-'IS (Base-Case)'!E160</f>
        <v>0</v>
      </c>
      <c r="F160" s="16">
        <f>'IS (Bull-Case)'!F160-'IS (Base-Case)'!F160</f>
        <v>0</v>
      </c>
      <c r="G160" s="139">
        <f>'IS (Bull-Case)'!G160-'IS (Base-Case)'!G160</f>
        <v>0</v>
      </c>
      <c r="H160" s="49">
        <f>'IS (Bull-Case)'!H160-'IS (Base-Case)'!H160</f>
        <v>0</v>
      </c>
      <c r="I160" s="139">
        <f>'IS (Bull-Case)'!I160-'IS (Base-Case)'!I160</f>
        <v>0</v>
      </c>
      <c r="J160" s="139">
        <f>'IS (Bull-Case)'!J160-'IS (Base-Case)'!J160</f>
        <v>0</v>
      </c>
      <c r="K160" s="139">
        <f>'IS (Bull-Case)'!K160-'IS (Base-Case)'!K160</f>
        <v>0</v>
      </c>
      <c r="L160" s="139">
        <f>'IS (Bull-Case)'!L160-'IS (Base-Case)'!L160</f>
        <v>0</v>
      </c>
      <c r="M160" s="49">
        <f>'IS (Bull-Case)'!M160-'IS (Base-Case)'!M160</f>
        <v>0</v>
      </c>
      <c r="N160" s="179">
        <f>'IS (Bull-Case)'!N160-'IS (Base-Case)'!N160</f>
        <v>0</v>
      </c>
      <c r="O160" s="139">
        <f>'IS (Bull-Case)'!O160-'IS (Base-Case)'!O160</f>
        <v>0</v>
      </c>
      <c r="P160" s="139">
        <f>'IS (Bull-Case)'!P160-'IS (Base-Case)'!P160</f>
        <v>0</v>
      </c>
      <c r="Q160" s="139">
        <f>'IS (Bull-Case)'!Q160-'IS (Base-Case)'!Q160</f>
        <v>0</v>
      </c>
      <c r="R160" s="49">
        <f>'IS (Bull-Case)'!R160-'IS (Base-Case)'!R160</f>
        <v>0</v>
      </c>
      <c r="S160" s="139">
        <f>'IS (Bull-Case)'!S160-'IS (Base-Case)'!S160</f>
        <v>0</v>
      </c>
      <c r="T160" s="139">
        <f>'IS (Bull-Case)'!T160-'IS (Base-Case)'!T160</f>
        <v>0</v>
      </c>
      <c r="U160" s="139">
        <f>'IS (Bull-Case)'!U160-'IS (Base-Case)'!U160</f>
        <v>0</v>
      </c>
      <c r="V160" s="139">
        <f>'IS (Bull-Case)'!V160-'IS (Base-Case)'!V160</f>
        <v>0</v>
      </c>
      <c r="W160" s="49">
        <f>'IS (Bull-Case)'!W160-'IS (Base-Case)'!W160</f>
        <v>0</v>
      </c>
      <c r="X160" s="139">
        <f>'IS (Bull-Case)'!X160-'IS (Base-Case)'!X160</f>
        <v>0</v>
      </c>
      <c r="Y160" s="139">
        <f>'IS (Bull-Case)'!Y160-'IS (Base-Case)'!Y160</f>
        <v>0</v>
      </c>
      <c r="Z160" s="139">
        <f>'IS (Bull-Case)'!Z160-'IS (Base-Case)'!Z160</f>
        <v>0</v>
      </c>
      <c r="AA160" s="139">
        <f>'IS (Bull-Case)'!AA160-'IS (Base-Case)'!AA160</f>
        <v>0</v>
      </c>
      <c r="AB160" s="49">
        <f>'IS (Bull-Case)'!AB160-'IS (Base-Case)'!AB160</f>
        <v>0</v>
      </c>
      <c r="AC160" s="139">
        <f>'IS (Bull-Case)'!AC160-'IS (Base-Case)'!AC160</f>
        <v>0</v>
      </c>
      <c r="AD160" s="139">
        <f>'IS (Bull-Case)'!AD160-'IS (Base-Case)'!AD160</f>
        <v>0</v>
      </c>
      <c r="AE160" s="139">
        <f>'IS (Bull-Case)'!AE160-'IS (Base-Case)'!AE160</f>
        <v>0</v>
      </c>
      <c r="AF160" s="139">
        <f>'IS (Bull-Case)'!AF160-'IS (Base-Case)'!AF160</f>
        <v>0</v>
      </c>
      <c r="AG160" s="49">
        <f>'IS (Bull-Case)'!AG160-'IS (Base-Case)'!AG160</f>
        <v>0</v>
      </c>
      <c r="AH160" s="139">
        <f>'IS (Bull-Case)'!AH160-'IS (Base-Case)'!AH160</f>
        <v>0</v>
      </c>
      <c r="AI160" s="139">
        <f>'IS (Bull-Case)'!AI160-'IS (Base-Case)'!AI160</f>
        <v>0</v>
      </c>
      <c r="AJ160" s="139">
        <f>'IS (Bull-Case)'!AJ160-'IS (Base-Case)'!AJ160</f>
        <v>0</v>
      </c>
      <c r="AK160" s="139">
        <f>'IS (Bull-Case)'!AK160-'IS (Base-Case)'!AK160</f>
        <v>0</v>
      </c>
      <c r="AL160" s="49">
        <f>'IS (Bull-Case)'!AL160-'IS (Base-Case)'!AL160</f>
        <v>0</v>
      </c>
      <c r="AM160" s="139">
        <f>'IS (Bull-Case)'!AM160-'IS (Base-Case)'!AM160</f>
        <v>0</v>
      </c>
      <c r="AN160" s="139">
        <f>'IS (Bull-Case)'!AN160-'IS (Base-Case)'!AN160</f>
        <v>0</v>
      </c>
      <c r="AO160" s="139">
        <f>'IS (Bull-Case)'!AO160-'IS (Base-Case)'!AO160</f>
        <v>0</v>
      </c>
      <c r="AP160" s="139">
        <f>'IS (Bull-Case)'!AP160-'IS (Base-Case)'!AP160</f>
        <v>0</v>
      </c>
      <c r="AQ160" s="49">
        <f>'IS (Bull-Case)'!AQ160-'IS (Base-Case)'!AQ160</f>
        <v>0</v>
      </c>
      <c r="AR160" s="139">
        <f>'IS (Bull-Case)'!AR160-'IS (Base-Case)'!AR160</f>
        <v>0</v>
      </c>
      <c r="AS160" s="139">
        <f>'IS (Bull-Case)'!AS160-'IS (Base-Case)'!AS160</f>
        <v>0</v>
      </c>
      <c r="AT160" s="139">
        <f>'IS (Bull-Case)'!AT160-'IS (Base-Case)'!AT160</f>
        <v>0</v>
      </c>
      <c r="AU160" s="139">
        <f>'IS (Bull-Case)'!AU160-'IS (Base-Case)'!AU160</f>
        <v>0</v>
      </c>
      <c r="AV160" s="49">
        <f>'IS (Bull-Case)'!AV160-'IS (Base-Case)'!AV160</f>
        <v>0</v>
      </c>
    </row>
    <row r="161" spans="2:48" outlineLevel="1" x14ac:dyDescent="0.3">
      <c r="B161" s="200" t="s">
        <v>136</v>
      </c>
      <c r="C161" s="201"/>
      <c r="D161" s="139">
        <f>'IS (Bull-Case)'!D161-'IS (Base-Case)'!D161</f>
        <v>0</v>
      </c>
      <c r="E161" s="139">
        <f>'IS (Bull-Case)'!E161-'IS (Base-Case)'!E161</f>
        <v>0</v>
      </c>
      <c r="F161" s="139">
        <f>'IS (Bull-Case)'!F161-'IS (Base-Case)'!F161</f>
        <v>0</v>
      </c>
      <c r="G161" s="139">
        <f>'IS (Bull-Case)'!G161-'IS (Base-Case)'!G161</f>
        <v>0</v>
      </c>
      <c r="H161" s="49">
        <f>'IS (Bull-Case)'!H161-'IS (Base-Case)'!H161</f>
        <v>0</v>
      </c>
      <c r="I161" s="139">
        <f>'IS (Bull-Case)'!I161-'IS (Base-Case)'!I161</f>
        <v>0</v>
      </c>
      <c r="J161" s="139">
        <f>'IS (Bull-Case)'!J161-'IS (Base-Case)'!J161</f>
        <v>0</v>
      </c>
      <c r="K161" s="139">
        <f>'IS (Bull-Case)'!K161-'IS (Base-Case)'!K161</f>
        <v>0</v>
      </c>
      <c r="L161" s="139">
        <f>'IS (Bull-Case)'!L161-'IS (Base-Case)'!L161</f>
        <v>0</v>
      </c>
      <c r="M161" s="49">
        <f>'IS (Bull-Case)'!M161-'IS (Base-Case)'!M161</f>
        <v>0</v>
      </c>
      <c r="N161" s="139">
        <f>'IS (Bull-Case)'!N161-'IS (Base-Case)'!N161</f>
        <v>0</v>
      </c>
      <c r="O161" s="139">
        <f>'IS (Bull-Case)'!O161-'IS (Base-Case)'!O161</f>
        <v>0</v>
      </c>
      <c r="P161" s="139">
        <f>'IS (Bull-Case)'!P161-'IS (Base-Case)'!P161</f>
        <v>0</v>
      </c>
      <c r="Q161" s="139">
        <f>'IS (Bull-Case)'!Q161-'IS (Base-Case)'!Q161</f>
        <v>0</v>
      </c>
      <c r="R161" s="49">
        <f>'IS (Bull-Case)'!R161-'IS (Base-Case)'!R161</f>
        <v>0</v>
      </c>
      <c r="S161" s="139">
        <f>'IS (Bull-Case)'!S161-'IS (Base-Case)'!S161</f>
        <v>0</v>
      </c>
      <c r="T161" s="139">
        <f>'IS (Bull-Case)'!T161-'IS (Base-Case)'!T161</f>
        <v>0</v>
      </c>
      <c r="U161" s="139">
        <f>'IS (Bull-Case)'!U161-'IS (Base-Case)'!U161</f>
        <v>0</v>
      </c>
      <c r="V161" s="139">
        <f>'IS (Bull-Case)'!V161-'IS (Base-Case)'!V161</f>
        <v>0</v>
      </c>
      <c r="W161" s="49">
        <f>'IS (Bull-Case)'!W161-'IS (Base-Case)'!W161</f>
        <v>0</v>
      </c>
      <c r="X161" s="139">
        <f>'IS (Bull-Case)'!X161-'IS (Base-Case)'!X161</f>
        <v>0</v>
      </c>
      <c r="Y161" s="139">
        <f>'IS (Bull-Case)'!Y161-'IS (Base-Case)'!Y161</f>
        <v>0</v>
      </c>
      <c r="Z161" s="139">
        <f>'IS (Bull-Case)'!Z161-'IS (Base-Case)'!Z161</f>
        <v>0</v>
      </c>
      <c r="AA161" s="139">
        <f>'IS (Bull-Case)'!AA161-'IS (Base-Case)'!AA161</f>
        <v>0</v>
      </c>
      <c r="AB161" s="49">
        <f>'IS (Bull-Case)'!AB161-'IS (Base-Case)'!AB161</f>
        <v>0</v>
      </c>
      <c r="AC161" s="139">
        <f>'IS (Bull-Case)'!AC161-'IS (Base-Case)'!AC161</f>
        <v>0</v>
      </c>
      <c r="AD161" s="139">
        <f>'IS (Bull-Case)'!AD161-'IS (Base-Case)'!AD161</f>
        <v>0</v>
      </c>
      <c r="AE161" s="139">
        <f>'IS (Bull-Case)'!AE161-'IS (Base-Case)'!AE161</f>
        <v>0</v>
      </c>
      <c r="AF161" s="139">
        <f>'IS (Bull-Case)'!AF161-'IS (Base-Case)'!AF161</f>
        <v>0</v>
      </c>
      <c r="AG161" s="49">
        <f>'IS (Bull-Case)'!AG161-'IS (Base-Case)'!AG161</f>
        <v>0</v>
      </c>
      <c r="AH161" s="139">
        <f>'IS (Bull-Case)'!AH161-'IS (Base-Case)'!AH161</f>
        <v>0</v>
      </c>
      <c r="AI161" s="139">
        <f>'IS (Bull-Case)'!AI161-'IS (Base-Case)'!AI161</f>
        <v>0</v>
      </c>
      <c r="AJ161" s="139">
        <f>'IS (Bull-Case)'!AJ161-'IS (Base-Case)'!AJ161</f>
        <v>0</v>
      </c>
      <c r="AK161" s="139">
        <f>'IS (Bull-Case)'!AK161-'IS (Base-Case)'!AK161</f>
        <v>0</v>
      </c>
      <c r="AL161" s="49">
        <f>'IS (Bull-Case)'!AL161-'IS (Base-Case)'!AL161</f>
        <v>0</v>
      </c>
      <c r="AM161" s="139">
        <f>'IS (Bull-Case)'!AM161-'IS (Base-Case)'!AM161</f>
        <v>0</v>
      </c>
      <c r="AN161" s="139">
        <f>'IS (Bull-Case)'!AN161-'IS (Base-Case)'!AN161</f>
        <v>0</v>
      </c>
      <c r="AO161" s="139">
        <f>'IS (Bull-Case)'!AO161-'IS (Base-Case)'!AO161</f>
        <v>0</v>
      </c>
      <c r="AP161" s="139">
        <f>'IS (Bull-Case)'!AP161-'IS (Base-Case)'!AP161</f>
        <v>0</v>
      </c>
      <c r="AQ161" s="49">
        <f>'IS (Bull-Case)'!AQ161-'IS (Base-Case)'!AQ161</f>
        <v>0</v>
      </c>
      <c r="AR161" s="139">
        <f>'IS (Bull-Case)'!AR161-'IS (Base-Case)'!AR161</f>
        <v>0</v>
      </c>
      <c r="AS161" s="139">
        <f>'IS (Bull-Case)'!AS161-'IS (Base-Case)'!AS161</f>
        <v>0</v>
      </c>
      <c r="AT161" s="139">
        <f>'IS (Bull-Case)'!AT161-'IS (Base-Case)'!AT161</f>
        <v>0</v>
      </c>
      <c r="AU161" s="139">
        <f>'IS (Bull-Case)'!AU161-'IS (Base-Case)'!AU161</f>
        <v>0</v>
      </c>
      <c r="AV161" s="49">
        <f>'IS (Bull-Case)'!AV161-'IS (Base-Case)'!AV161</f>
        <v>0</v>
      </c>
    </row>
    <row r="162" spans="2:48" ht="17.399999999999999" x14ac:dyDescent="0.45">
      <c r="B162" s="433" t="s">
        <v>12</v>
      </c>
      <c r="C162" s="434"/>
      <c r="D162" s="14" t="s">
        <v>19</v>
      </c>
      <c r="E162" s="14" t="s">
        <v>81</v>
      </c>
      <c r="F162" s="14" t="s">
        <v>85</v>
      </c>
      <c r="G162" s="14" t="s">
        <v>95</v>
      </c>
      <c r="H162" s="40" t="s">
        <v>96</v>
      </c>
      <c r="I162" s="14" t="s">
        <v>97</v>
      </c>
      <c r="J162" s="14" t="s">
        <v>98</v>
      </c>
      <c r="K162" s="14" t="s">
        <v>99</v>
      </c>
      <c r="L162" s="14" t="s">
        <v>142</v>
      </c>
      <c r="M162" s="40" t="s">
        <v>143</v>
      </c>
      <c r="N162" s="14" t="s">
        <v>149</v>
      </c>
      <c r="O162" s="14" t="s">
        <v>157</v>
      </c>
      <c r="P162" s="14" t="s">
        <v>159</v>
      </c>
      <c r="Q162" s="14" t="s">
        <v>172</v>
      </c>
      <c r="R162" s="40" t="s">
        <v>173</v>
      </c>
      <c r="S162" s="14" t="s">
        <v>188</v>
      </c>
      <c r="T162" s="14" t="s">
        <v>189</v>
      </c>
      <c r="U162" s="14" t="s">
        <v>204</v>
      </c>
      <c r="V162" s="12" t="s">
        <v>25</v>
      </c>
      <c r="W162" s="42" t="s">
        <v>26</v>
      </c>
      <c r="X162" s="12" t="s">
        <v>27</v>
      </c>
      <c r="Y162" s="12" t="s">
        <v>28</v>
      </c>
      <c r="Z162" s="12" t="s">
        <v>29</v>
      </c>
      <c r="AA162" s="12" t="s">
        <v>30</v>
      </c>
      <c r="AB162" s="42" t="s">
        <v>31</v>
      </c>
      <c r="AC162" s="12" t="s">
        <v>90</v>
      </c>
      <c r="AD162" s="12" t="s">
        <v>91</v>
      </c>
      <c r="AE162" s="12" t="s">
        <v>92</v>
      </c>
      <c r="AF162" s="12" t="s">
        <v>93</v>
      </c>
      <c r="AG162" s="42" t="s">
        <v>94</v>
      </c>
      <c r="AH162" s="12" t="s">
        <v>109</v>
      </c>
      <c r="AI162" s="12" t="s">
        <v>110</v>
      </c>
      <c r="AJ162" s="12" t="s">
        <v>111</v>
      </c>
      <c r="AK162" s="12" t="s">
        <v>112</v>
      </c>
      <c r="AL162" s="42" t="s">
        <v>113</v>
      </c>
      <c r="AM162" s="12" t="s">
        <v>164</v>
      </c>
      <c r="AN162" s="12" t="s">
        <v>165</v>
      </c>
      <c r="AO162" s="12" t="s">
        <v>166</v>
      </c>
      <c r="AP162" s="12" t="s">
        <v>167</v>
      </c>
      <c r="AQ162" s="42" t="s">
        <v>168</v>
      </c>
      <c r="AR162" s="12" t="s">
        <v>195</v>
      </c>
      <c r="AS162" s="12" t="s">
        <v>196</v>
      </c>
      <c r="AT162" s="12" t="s">
        <v>197</v>
      </c>
      <c r="AU162" s="12" t="s">
        <v>198</v>
      </c>
      <c r="AV162" s="42" t="s">
        <v>199</v>
      </c>
    </row>
    <row r="163" spans="2:48" outlineLevel="1" x14ac:dyDescent="0.3">
      <c r="B163" s="435" t="s">
        <v>65</v>
      </c>
      <c r="C163" s="436"/>
      <c r="D163" s="102">
        <f>'IS (Bull-Case)'!D163-'IS (Base-Case)'!D163</f>
        <v>0</v>
      </c>
      <c r="E163" s="102">
        <f>'IS (Bull-Case)'!E163-'IS (Base-Case)'!E163</f>
        <v>0</v>
      </c>
      <c r="F163" s="102">
        <f>'IS (Bull-Case)'!F163-'IS (Base-Case)'!F163</f>
        <v>0</v>
      </c>
      <c r="G163" s="102">
        <f>'IS (Bull-Case)'!G163-'IS (Base-Case)'!G163</f>
        <v>0</v>
      </c>
      <c r="H163" s="159">
        <f>'IS (Bull-Case)'!H163-'IS (Base-Case)'!H163</f>
        <v>0</v>
      </c>
      <c r="I163" s="102">
        <f>'IS (Bull-Case)'!I163-'IS (Base-Case)'!I163</f>
        <v>0</v>
      </c>
      <c r="J163" s="102">
        <f>'IS (Bull-Case)'!J163-'IS (Base-Case)'!J163</f>
        <v>0</v>
      </c>
      <c r="K163" s="105">
        <f>'IS (Bull-Case)'!K163-'IS (Base-Case)'!K163</f>
        <v>0</v>
      </c>
      <c r="L163" s="101">
        <f>'IS (Bull-Case)'!L163-'IS (Base-Case)'!L163</f>
        <v>0</v>
      </c>
      <c r="M163" s="169">
        <f>'IS (Bull-Case)'!M163-'IS (Base-Case)'!M163</f>
        <v>0</v>
      </c>
      <c r="N163" s="101">
        <f>'IS (Bull-Case)'!N163-'IS (Base-Case)'!N163</f>
        <v>0</v>
      </c>
      <c r="O163" s="101">
        <f>'IS (Bull-Case)'!O163-'IS (Base-Case)'!O163</f>
        <v>0</v>
      </c>
      <c r="P163" s="101">
        <f>'IS (Bull-Case)'!P163-'IS (Base-Case)'!P163</f>
        <v>0</v>
      </c>
      <c r="Q163" s="101">
        <f>'IS (Bull-Case)'!Q163-'IS (Base-Case)'!Q163</f>
        <v>0</v>
      </c>
      <c r="R163" s="17">
        <f>'IS (Bull-Case)'!R163-'IS (Base-Case)'!R163</f>
        <v>0</v>
      </c>
      <c r="S163" s="16">
        <f>'IS (Bull-Case)'!S163-'IS (Base-Case)'!S163</f>
        <v>0</v>
      </c>
      <c r="T163" s="16">
        <f>'IS (Bull-Case)'!T163-'IS (Base-Case)'!T163</f>
        <v>0</v>
      </c>
      <c r="U163" s="16">
        <f>'IS (Bull-Case)'!U163-'IS (Base-Case)'!U163</f>
        <v>0</v>
      </c>
      <c r="V163" s="33">
        <f>'IS (Bull-Case)'!V163-'IS (Base-Case)'!V163</f>
        <v>0</v>
      </c>
      <c r="W163" s="17">
        <f>'IS (Bull-Case)'!W163-'IS (Base-Case)'!W163</f>
        <v>0</v>
      </c>
      <c r="X163" s="33">
        <f>'IS (Bull-Case)'!X163-'IS (Base-Case)'!X163</f>
        <v>0</v>
      </c>
      <c r="Y163" s="33">
        <f>'IS (Bull-Case)'!Y163-'IS (Base-Case)'!Y163</f>
        <v>0</v>
      </c>
      <c r="Z163" s="33">
        <f>'IS (Bull-Case)'!Z163-'IS (Base-Case)'!Z163</f>
        <v>0</v>
      </c>
      <c r="AA163" s="33">
        <f>'IS (Bull-Case)'!AA163-'IS (Base-Case)'!AA163</f>
        <v>0</v>
      </c>
      <c r="AB163" s="17">
        <f>'IS (Bull-Case)'!AB163-'IS (Base-Case)'!AB163</f>
        <v>0</v>
      </c>
      <c r="AC163" s="33">
        <f>'IS (Bull-Case)'!AC163-'IS (Base-Case)'!AC163</f>
        <v>0</v>
      </c>
      <c r="AD163" s="33">
        <f>'IS (Bull-Case)'!AD163-'IS (Base-Case)'!AD163</f>
        <v>0</v>
      </c>
      <c r="AE163" s="33">
        <f>'IS (Bull-Case)'!AE163-'IS (Base-Case)'!AE163</f>
        <v>0</v>
      </c>
      <c r="AF163" s="33">
        <f>'IS (Bull-Case)'!AF163-'IS (Base-Case)'!AF163</f>
        <v>0</v>
      </c>
      <c r="AG163" s="17">
        <f>'IS (Bull-Case)'!AG163-'IS (Base-Case)'!AG163</f>
        <v>0</v>
      </c>
      <c r="AH163" s="33">
        <f>'IS (Bull-Case)'!AH163-'IS (Base-Case)'!AH163</f>
        <v>0</v>
      </c>
      <c r="AI163" s="33">
        <f>'IS (Bull-Case)'!AI163-'IS (Base-Case)'!AI163</f>
        <v>0</v>
      </c>
      <c r="AJ163" s="33">
        <f>'IS (Bull-Case)'!AJ163-'IS (Base-Case)'!AJ163</f>
        <v>0</v>
      </c>
      <c r="AK163" s="33">
        <f>'IS (Bull-Case)'!AK163-'IS (Base-Case)'!AK163</f>
        <v>0</v>
      </c>
      <c r="AL163" s="17">
        <f>'IS (Bull-Case)'!AL163-'IS (Base-Case)'!AL163</f>
        <v>0</v>
      </c>
      <c r="AM163" s="33">
        <f>'IS (Bull-Case)'!AM163-'IS (Base-Case)'!AM163</f>
        <v>0</v>
      </c>
      <c r="AN163" s="33">
        <f>'IS (Bull-Case)'!AN163-'IS (Base-Case)'!AN163</f>
        <v>0</v>
      </c>
      <c r="AO163" s="33">
        <f>'IS (Bull-Case)'!AO163-'IS (Base-Case)'!AO163</f>
        <v>0</v>
      </c>
      <c r="AP163" s="33">
        <f>'IS (Bull-Case)'!AP163-'IS (Base-Case)'!AP163</f>
        <v>0</v>
      </c>
      <c r="AQ163" s="17">
        <f>'IS (Bull-Case)'!AQ163-'IS (Base-Case)'!AQ163</f>
        <v>0</v>
      </c>
      <c r="AR163" s="33">
        <f>'IS (Bull-Case)'!AR163-'IS (Base-Case)'!AR163</f>
        <v>0</v>
      </c>
      <c r="AS163" s="33">
        <f>'IS (Bull-Case)'!AS163-'IS (Base-Case)'!AS163</f>
        <v>0</v>
      </c>
      <c r="AT163" s="33">
        <f>'IS (Bull-Case)'!AT163-'IS (Base-Case)'!AT163</f>
        <v>0</v>
      </c>
      <c r="AU163" s="33">
        <f>'IS (Bull-Case)'!AU163-'IS (Base-Case)'!AU163</f>
        <v>0</v>
      </c>
      <c r="AV163" s="17">
        <f>'IS (Bull-Case)'!AV163-'IS (Base-Case)'!AV163</f>
        <v>0</v>
      </c>
    </row>
    <row r="164" spans="2:48" outlineLevel="1" x14ac:dyDescent="0.3">
      <c r="B164" s="200" t="s">
        <v>64</v>
      </c>
      <c r="C164" s="201"/>
      <c r="D164" s="102">
        <f>'IS (Bull-Case)'!D164-'IS (Base-Case)'!D164</f>
        <v>0</v>
      </c>
      <c r="E164" s="102">
        <f>'IS (Bull-Case)'!E164-'IS (Base-Case)'!E164</f>
        <v>0</v>
      </c>
      <c r="F164" s="102">
        <f>'IS (Bull-Case)'!F164-'IS (Base-Case)'!F164</f>
        <v>0</v>
      </c>
      <c r="G164" s="102">
        <f>'IS (Bull-Case)'!G164-'IS (Base-Case)'!G164</f>
        <v>0</v>
      </c>
      <c r="H164" s="159">
        <f>'IS (Bull-Case)'!H164-'IS (Base-Case)'!H164</f>
        <v>0</v>
      </c>
      <c r="I164" s="102">
        <f>'IS (Bull-Case)'!I164-'IS (Base-Case)'!I164</f>
        <v>0</v>
      </c>
      <c r="J164" s="102">
        <f>'IS (Bull-Case)'!J164-'IS (Base-Case)'!J164</f>
        <v>0</v>
      </c>
      <c r="K164" s="105">
        <f>'IS (Bull-Case)'!K164-'IS (Base-Case)'!K164</f>
        <v>0</v>
      </c>
      <c r="L164" s="101">
        <f>'IS (Bull-Case)'!L164-'IS (Base-Case)'!L164</f>
        <v>0</v>
      </c>
      <c r="M164" s="169">
        <f>'IS (Bull-Case)'!M164-'IS (Base-Case)'!M164</f>
        <v>0</v>
      </c>
      <c r="N164" s="101">
        <f>'IS (Bull-Case)'!N164-'IS (Base-Case)'!N164</f>
        <v>0</v>
      </c>
      <c r="O164" s="101">
        <f>'IS (Bull-Case)'!O164-'IS (Base-Case)'!O164</f>
        <v>0</v>
      </c>
      <c r="P164" s="101">
        <f>'IS (Bull-Case)'!P164-'IS (Base-Case)'!P164</f>
        <v>0</v>
      </c>
      <c r="Q164" s="101">
        <f>'IS (Bull-Case)'!Q164-'IS (Base-Case)'!Q164</f>
        <v>0</v>
      </c>
      <c r="R164" s="17">
        <f>'IS (Bull-Case)'!R164-'IS (Base-Case)'!R164</f>
        <v>0</v>
      </c>
      <c r="S164" s="16">
        <f>'IS (Bull-Case)'!S164-'IS (Base-Case)'!S164</f>
        <v>0</v>
      </c>
      <c r="T164" s="16">
        <f>'IS (Bull-Case)'!T164-'IS (Base-Case)'!T164</f>
        <v>0</v>
      </c>
      <c r="U164" s="16">
        <f>'IS (Bull-Case)'!U164-'IS (Base-Case)'!U164</f>
        <v>0</v>
      </c>
      <c r="V164" s="33">
        <f>'IS (Bull-Case)'!V164-'IS (Base-Case)'!V164</f>
        <v>0</v>
      </c>
      <c r="W164" s="17">
        <f>'IS (Bull-Case)'!W164-'IS (Base-Case)'!W164</f>
        <v>0</v>
      </c>
      <c r="X164" s="33">
        <f>'IS (Bull-Case)'!X164-'IS (Base-Case)'!X164</f>
        <v>0</v>
      </c>
      <c r="Y164" s="33">
        <f>'IS (Bull-Case)'!Y164-'IS (Base-Case)'!Y164</f>
        <v>0</v>
      </c>
      <c r="Z164" s="33">
        <f>'IS (Bull-Case)'!Z164-'IS (Base-Case)'!Z164</f>
        <v>0</v>
      </c>
      <c r="AA164" s="33">
        <f>'IS (Bull-Case)'!AA164-'IS (Base-Case)'!AA164</f>
        <v>0</v>
      </c>
      <c r="AB164" s="17">
        <f>'IS (Bull-Case)'!AB164-'IS (Base-Case)'!AB164</f>
        <v>0</v>
      </c>
      <c r="AC164" s="33">
        <f>'IS (Bull-Case)'!AC164-'IS (Base-Case)'!AC164</f>
        <v>0</v>
      </c>
      <c r="AD164" s="33">
        <f>'IS (Bull-Case)'!AD164-'IS (Base-Case)'!AD164</f>
        <v>0</v>
      </c>
      <c r="AE164" s="33">
        <f>'IS (Bull-Case)'!AE164-'IS (Base-Case)'!AE164</f>
        <v>0</v>
      </c>
      <c r="AF164" s="33">
        <f>'IS (Bull-Case)'!AF164-'IS (Base-Case)'!AF164</f>
        <v>0</v>
      </c>
      <c r="AG164" s="17">
        <f>'IS (Bull-Case)'!AG164-'IS (Base-Case)'!AG164</f>
        <v>0</v>
      </c>
      <c r="AH164" s="33">
        <f>'IS (Bull-Case)'!AH164-'IS (Base-Case)'!AH164</f>
        <v>0</v>
      </c>
      <c r="AI164" s="33">
        <f>'IS (Bull-Case)'!AI164-'IS (Base-Case)'!AI164</f>
        <v>0</v>
      </c>
      <c r="AJ164" s="33">
        <f>'IS (Bull-Case)'!AJ164-'IS (Base-Case)'!AJ164</f>
        <v>0</v>
      </c>
      <c r="AK164" s="33">
        <f>'IS (Bull-Case)'!AK164-'IS (Base-Case)'!AK164</f>
        <v>0</v>
      </c>
      <c r="AL164" s="17">
        <f>'IS (Bull-Case)'!AL164-'IS (Base-Case)'!AL164</f>
        <v>0</v>
      </c>
      <c r="AM164" s="33">
        <f>'IS (Bull-Case)'!AM164-'IS (Base-Case)'!AM164</f>
        <v>0</v>
      </c>
      <c r="AN164" s="33">
        <f>'IS (Bull-Case)'!AN164-'IS (Base-Case)'!AN164</f>
        <v>0</v>
      </c>
      <c r="AO164" s="33">
        <f>'IS (Bull-Case)'!AO164-'IS (Base-Case)'!AO164</f>
        <v>0</v>
      </c>
      <c r="AP164" s="33">
        <f>'IS (Bull-Case)'!AP164-'IS (Base-Case)'!AP164</f>
        <v>0</v>
      </c>
      <c r="AQ164" s="17">
        <f>'IS (Bull-Case)'!AQ164-'IS (Base-Case)'!AQ164</f>
        <v>0</v>
      </c>
      <c r="AR164" s="33">
        <f>'IS (Bull-Case)'!AR164-'IS (Base-Case)'!AR164</f>
        <v>0</v>
      </c>
      <c r="AS164" s="33">
        <f>'IS (Bull-Case)'!AS164-'IS (Base-Case)'!AS164</f>
        <v>0</v>
      </c>
      <c r="AT164" s="33">
        <f>'IS (Bull-Case)'!AT164-'IS (Base-Case)'!AT164</f>
        <v>0</v>
      </c>
      <c r="AU164" s="33">
        <f>'IS (Bull-Case)'!AU164-'IS (Base-Case)'!AU164</f>
        <v>0</v>
      </c>
      <c r="AV164" s="17">
        <f>'IS (Bull-Case)'!AV164-'IS (Base-Case)'!AV164</f>
        <v>0</v>
      </c>
    </row>
    <row r="165" spans="2:48" outlineLevel="1" x14ac:dyDescent="0.3">
      <c r="B165" s="435" t="s">
        <v>129</v>
      </c>
      <c r="C165" s="436"/>
      <c r="D165" s="102">
        <f>'IS (Bull-Case)'!D165-'IS (Base-Case)'!D165</f>
        <v>0</v>
      </c>
      <c r="E165" s="102">
        <f>'IS (Bull-Case)'!E165-'IS (Base-Case)'!E165</f>
        <v>0</v>
      </c>
      <c r="F165" s="102">
        <f>'IS (Bull-Case)'!F165-'IS (Base-Case)'!F165</f>
        <v>0</v>
      </c>
      <c r="G165" s="102">
        <f>'IS (Bull-Case)'!G165-'IS (Base-Case)'!G165</f>
        <v>0</v>
      </c>
      <c r="H165" s="159">
        <f>'IS (Bull-Case)'!H165-'IS (Base-Case)'!H165</f>
        <v>0</v>
      </c>
      <c r="I165" s="102">
        <f>'IS (Bull-Case)'!I165-'IS (Base-Case)'!I165</f>
        <v>0</v>
      </c>
      <c r="J165" s="102">
        <f>'IS (Bull-Case)'!J165-'IS (Base-Case)'!J165</f>
        <v>0</v>
      </c>
      <c r="K165" s="105">
        <f>'IS (Bull-Case)'!K165-'IS (Base-Case)'!K165</f>
        <v>0</v>
      </c>
      <c r="L165" s="101">
        <f>'IS (Bull-Case)'!L165-'IS (Base-Case)'!L165</f>
        <v>0</v>
      </c>
      <c r="M165" s="169">
        <f>'IS (Bull-Case)'!M165-'IS (Base-Case)'!M165</f>
        <v>0</v>
      </c>
      <c r="N165" s="101">
        <f>'IS (Bull-Case)'!N165-'IS (Base-Case)'!N165</f>
        <v>0</v>
      </c>
      <c r="O165" s="101">
        <f>'IS (Bull-Case)'!O165-'IS (Base-Case)'!O165</f>
        <v>0</v>
      </c>
      <c r="P165" s="101">
        <f>'IS (Bull-Case)'!P165-'IS (Base-Case)'!P165</f>
        <v>0</v>
      </c>
      <c r="Q165" s="101">
        <f>'IS (Bull-Case)'!Q165-'IS (Base-Case)'!Q165</f>
        <v>0</v>
      </c>
      <c r="R165" s="17">
        <f>'IS (Bull-Case)'!R165-'IS (Base-Case)'!R165</f>
        <v>0</v>
      </c>
      <c r="S165" s="16">
        <f>'IS (Bull-Case)'!S165-'IS (Base-Case)'!S165</f>
        <v>0</v>
      </c>
      <c r="T165" s="16">
        <f>'IS (Bull-Case)'!T165-'IS (Base-Case)'!T165</f>
        <v>0</v>
      </c>
      <c r="U165" s="16">
        <f>'IS (Bull-Case)'!U165-'IS (Base-Case)'!U165</f>
        <v>0</v>
      </c>
      <c r="V165" s="33">
        <f>'IS (Bull-Case)'!V165-'IS (Base-Case)'!V165</f>
        <v>0</v>
      </c>
      <c r="W165" s="17">
        <f>'IS (Bull-Case)'!W165-'IS (Base-Case)'!W165</f>
        <v>0</v>
      </c>
      <c r="X165" s="33">
        <f>'IS (Bull-Case)'!X165-'IS (Base-Case)'!X165</f>
        <v>0</v>
      </c>
      <c r="Y165" s="33">
        <f>'IS (Bull-Case)'!Y165-'IS (Base-Case)'!Y165</f>
        <v>0</v>
      </c>
      <c r="Z165" s="33">
        <f>'IS (Bull-Case)'!Z165-'IS (Base-Case)'!Z165</f>
        <v>0</v>
      </c>
      <c r="AA165" s="33">
        <f>'IS (Bull-Case)'!AA165-'IS (Base-Case)'!AA165</f>
        <v>0</v>
      </c>
      <c r="AB165" s="17">
        <f>'IS (Bull-Case)'!AB165-'IS (Base-Case)'!AB165</f>
        <v>0</v>
      </c>
      <c r="AC165" s="33">
        <f>'IS (Bull-Case)'!AC165-'IS (Base-Case)'!AC165</f>
        <v>0</v>
      </c>
      <c r="AD165" s="33">
        <f>'IS (Bull-Case)'!AD165-'IS (Base-Case)'!AD165</f>
        <v>0</v>
      </c>
      <c r="AE165" s="33">
        <f>'IS (Bull-Case)'!AE165-'IS (Base-Case)'!AE165</f>
        <v>0</v>
      </c>
      <c r="AF165" s="33">
        <f>'IS (Bull-Case)'!AF165-'IS (Base-Case)'!AF165</f>
        <v>0</v>
      </c>
      <c r="AG165" s="17">
        <f>'IS (Bull-Case)'!AG165-'IS (Base-Case)'!AG165</f>
        <v>0</v>
      </c>
      <c r="AH165" s="33">
        <f>'IS (Bull-Case)'!AH165-'IS (Base-Case)'!AH165</f>
        <v>0</v>
      </c>
      <c r="AI165" s="33">
        <f>'IS (Bull-Case)'!AI165-'IS (Base-Case)'!AI165</f>
        <v>0</v>
      </c>
      <c r="AJ165" s="33">
        <f>'IS (Bull-Case)'!AJ165-'IS (Base-Case)'!AJ165</f>
        <v>0</v>
      </c>
      <c r="AK165" s="33">
        <f>'IS (Bull-Case)'!AK165-'IS (Base-Case)'!AK165</f>
        <v>0</v>
      </c>
      <c r="AL165" s="17">
        <f>'IS (Bull-Case)'!AL165-'IS (Base-Case)'!AL165</f>
        <v>0</v>
      </c>
      <c r="AM165" s="33">
        <f>'IS (Bull-Case)'!AM165-'IS (Base-Case)'!AM165</f>
        <v>0</v>
      </c>
      <c r="AN165" s="33">
        <f>'IS (Bull-Case)'!AN165-'IS (Base-Case)'!AN165</f>
        <v>0</v>
      </c>
      <c r="AO165" s="33">
        <f>'IS (Bull-Case)'!AO165-'IS (Base-Case)'!AO165</f>
        <v>0</v>
      </c>
      <c r="AP165" s="33">
        <f>'IS (Bull-Case)'!AP165-'IS (Base-Case)'!AP165</f>
        <v>0</v>
      </c>
      <c r="AQ165" s="17">
        <f>'IS (Bull-Case)'!AQ165-'IS (Base-Case)'!AQ165</f>
        <v>0</v>
      </c>
      <c r="AR165" s="33">
        <f>'IS (Bull-Case)'!AR165-'IS (Base-Case)'!AR165</f>
        <v>0</v>
      </c>
      <c r="AS165" s="33">
        <f>'IS (Bull-Case)'!AS165-'IS (Base-Case)'!AS165</f>
        <v>0</v>
      </c>
      <c r="AT165" s="33">
        <f>'IS (Bull-Case)'!AT165-'IS (Base-Case)'!AT165</f>
        <v>0</v>
      </c>
      <c r="AU165" s="33">
        <f>'IS (Bull-Case)'!AU165-'IS (Base-Case)'!AU165</f>
        <v>0</v>
      </c>
      <c r="AV165" s="17">
        <f>'IS (Bull-Case)'!AV165-'IS (Base-Case)'!AV165</f>
        <v>0</v>
      </c>
    </row>
    <row r="166" spans="2:48" outlineLevel="1" x14ac:dyDescent="0.3">
      <c r="B166" s="200" t="s">
        <v>66</v>
      </c>
      <c r="C166" s="201"/>
      <c r="D166" s="102">
        <f>'IS (Bull-Case)'!D166-'IS (Base-Case)'!D166</f>
        <v>0</v>
      </c>
      <c r="E166" s="102">
        <f>'IS (Bull-Case)'!E166-'IS (Base-Case)'!E166</f>
        <v>0</v>
      </c>
      <c r="F166" s="102">
        <f>'IS (Bull-Case)'!F166-'IS (Base-Case)'!F166</f>
        <v>0</v>
      </c>
      <c r="G166" s="102">
        <f>'IS (Bull-Case)'!G166-'IS (Base-Case)'!G166</f>
        <v>0</v>
      </c>
      <c r="H166" s="159">
        <f>'IS (Bull-Case)'!H166-'IS (Base-Case)'!H166</f>
        <v>0</v>
      </c>
      <c r="I166" s="102">
        <f>'IS (Bull-Case)'!I166-'IS (Base-Case)'!I166</f>
        <v>0</v>
      </c>
      <c r="J166" s="102">
        <f>'IS (Bull-Case)'!J166-'IS (Base-Case)'!J166</f>
        <v>0</v>
      </c>
      <c r="K166" s="101">
        <f>'IS (Bull-Case)'!K166-'IS (Base-Case)'!K166</f>
        <v>0</v>
      </c>
      <c r="L166" s="101">
        <f>'IS (Bull-Case)'!L166-'IS (Base-Case)'!L166</f>
        <v>0</v>
      </c>
      <c r="M166" s="169">
        <f>'IS (Bull-Case)'!M166-'IS (Base-Case)'!M166</f>
        <v>0</v>
      </c>
      <c r="N166" s="101">
        <f>'IS (Bull-Case)'!N166-'IS (Base-Case)'!N166</f>
        <v>0</v>
      </c>
      <c r="O166" s="101">
        <f>'IS (Bull-Case)'!O166-'IS (Base-Case)'!O166</f>
        <v>0</v>
      </c>
      <c r="P166" s="101">
        <f>'IS (Bull-Case)'!P166-'IS (Base-Case)'!P166</f>
        <v>0</v>
      </c>
      <c r="Q166" s="101">
        <f>'IS (Bull-Case)'!Q166-'IS (Base-Case)'!Q166</f>
        <v>0</v>
      </c>
      <c r="R166" s="17">
        <f>'IS (Bull-Case)'!R166-'IS (Base-Case)'!R166</f>
        <v>0</v>
      </c>
      <c r="S166" s="16">
        <f>'IS (Bull-Case)'!S166-'IS (Base-Case)'!S166</f>
        <v>0</v>
      </c>
      <c r="T166" s="16">
        <f>'IS (Bull-Case)'!T166-'IS (Base-Case)'!T166</f>
        <v>0</v>
      </c>
      <c r="U166" s="16">
        <f>'IS (Bull-Case)'!U166-'IS (Base-Case)'!U166</f>
        <v>0</v>
      </c>
      <c r="V166" s="33">
        <f>'IS (Bull-Case)'!V166-'IS (Base-Case)'!V166</f>
        <v>0</v>
      </c>
      <c r="W166" s="17">
        <f>'IS (Bull-Case)'!W166-'IS (Base-Case)'!W166</f>
        <v>0</v>
      </c>
      <c r="X166" s="33">
        <f>'IS (Bull-Case)'!X166-'IS (Base-Case)'!X166</f>
        <v>0</v>
      </c>
      <c r="Y166" s="33">
        <f>'IS (Bull-Case)'!Y166-'IS (Base-Case)'!Y166</f>
        <v>0</v>
      </c>
      <c r="Z166" s="33">
        <f>'IS (Bull-Case)'!Z166-'IS (Base-Case)'!Z166</f>
        <v>0</v>
      </c>
      <c r="AA166" s="33">
        <f>'IS (Bull-Case)'!AA166-'IS (Base-Case)'!AA166</f>
        <v>0</v>
      </c>
      <c r="AB166" s="17">
        <f>'IS (Bull-Case)'!AB166-'IS (Base-Case)'!AB166</f>
        <v>0</v>
      </c>
      <c r="AC166" s="33">
        <f>'IS (Bull-Case)'!AC166-'IS (Base-Case)'!AC166</f>
        <v>0</v>
      </c>
      <c r="AD166" s="33">
        <f>'IS (Bull-Case)'!AD166-'IS (Base-Case)'!AD166</f>
        <v>0</v>
      </c>
      <c r="AE166" s="33">
        <f>'IS (Bull-Case)'!AE166-'IS (Base-Case)'!AE166</f>
        <v>0</v>
      </c>
      <c r="AF166" s="33">
        <f>'IS (Bull-Case)'!AF166-'IS (Base-Case)'!AF166</f>
        <v>0</v>
      </c>
      <c r="AG166" s="17">
        <f>'IS (Bull-Case)'!AG166-'IS (Base-Case)'!AG166</f>
        <v>0</v>
      </c>
      <c r="AH166" s="33">
        <f>'IS (Bull-Case)'!AH166-'IS (Base-Case)'!AH166</f>
        <v>0</v>
      </c>
      <c r="AI166" s="33">
        <f>'IS (Bull-Case)'!AI166-'IS (Base-Case)'!AI166</f>
        <v>0</v>
      </c>
      <c r="AJ166" s="33">
        <f>'IS (Bull-Case)'!AJ166-'IS (Base-Case)'!AJ166</f>
        <v>0</v>
      </c>
      <c r="AK166" s="33">
        <f>'IS (Bull-Case)'!AK166-'IS (Base-Case)'!AK166</f>
        <v>0</v>
      </c>
      <c r="AL166" s="17">
        <f>'IS (Bull-Case)'!AL166-'IS (Base-Case)'!AL166</f>
        <v>0</v>
      </c>
      <c r="AM166" s="33">
        <f>'IS (Bull-Case)'!AM166-'IS (Base-Case)'!AM166</f>
        <v>0</v>
      </c>
      <c r="AN166" s="33">
        <f>'IS (Bull-Case)'!AN166-'IS (Base-Case)'!AN166</f>
        <v>0</v>
      </c>
      <c r="AO166" s="33">
        <f>'IS (Bull-Case)'!AO166-'IS (Base-Case)'!AO166</f>
        <v>0</v>
      </c>
      <c r="AP166" s="33">
        <f>'IS (Bull-Case)'!AP166-'IS (Base-Case)'!AP166</f>
        <v>0</v>
      </c>
      <c r="AQ166" s="17">
        <f>'IS (Bull-Case)'!AQ166-'IS (Base-Case)'!AQ166</f>
        <v>0</v>
      </c>
      <c r="AR166" s="33">
        <f>'IS (Bull-Case)'!AR166-'IS (Base-Case)'!AR166</f>
        <v>0</v>
      </c>
      <c r="AS166" s="33">
        <f>'IS (Bull-Case)'!AS166-'IS (Base-Case)'!AS166</f>
        <v>0</v>
      </c>
      <c r="AT166" s="33">
        <f>'IS (Bull-Case)'!AT166-'IS (Base-Case)'!AT166</f>
        <v>0</v>
      </c>
      <c r="AU166" s="33">
        <f>'IS (Bull-Case)'!AU166-'IS (Base-Case)'!AU166</f>
        <v>0</v>
      </c>
      <c r="AV166" s="17">
        <f>'IS (Bull-Case)'!AV166-'IS (Base-Case)'!AV166</f>
        <v>0</v>
      </c>
    </row>
    <row r="167" spans="2:48" ht="16.2" outlineLevel="1" x14ac:dyDescent="0.45">
      <c r="B167" s="200" t="s">
        <v>80</v>
      </c>
      <c r="C167" s="201"/>
      <c r="D167" s="138">
        <f>'IS (Bull-Case)'!D167-'IS (Base-Case)'!D167</f>
        <v>0</v>
      </c>
      <c r="E167" s="138">
        <f>'IS (Bull-Case)'!E167-'IS (Base-Case)'!E167</f>
        <v>0</v>
      </c>
      <c r="F167" s="138">
        <f>'IS (Bull-Case)'!F167-'IS (Base-Case)'!F167</f>
        <v>0</v>
      </c>
      <c r="G167" s="138">
        <f>'IS (Bull-Case)'!G167-'IS (Base-Case)'!G167</f>
        <v>0</v>
      </c>
      <c r="H167" s="160">
        <f>'IS (Bull-Case)'!H167-'IS (Base-Case)'!H167</f>
        <v>0</v>
      </c>
      <c r="I167" s="138">
        <f>'IS (Bull-Case)'!I167-'IS (Base-Case)'!I167</f>
        <v>0</v>
      </c>
      <c r="J167" s="138">
        <f>'IS (Bull-Case)'!J167-'IS (Base-Case)'!J167</f>
        <v>0</v>
      </c>
      <c r="K167" s="112">
        <f>'IS (Bull-Case)'!K167-'IS (Base-Case)'!K167</f>
        <v>0</v>
      </c>
      <c r="L167" s="112">
        <f>'IS (Bull-Case)'!L167-'IS (Base-Case)'!L167</f>
        <v>0</v>
      </c>
      <c r="M167" s="169">
        <f>'IS (Bull-Case)'!M167-'IS (Base-Case)'!M167</f>
        <v>0</v>
      </c>
      <c r="N167" s="112">
        <f>'IS (Bull-Case)'!N167-'IS (Base-Case)'!N167</f>
        <v>0</v>
      </c>
      <c r="O167" s="112">
        <f>'IS (Bull-Case)'!O167-'IS (Base-Case)'!O167</f>
        <v>0</v>
      </c>
      <c r="P167" s="112">
        <f>'IS (Bull-Case)'!P167-'IS (Base-Case)'!P167</f>
        <v>0</v>
      </c>
      <c r="Q167" s="112">
        <f>'IS (Bull-Case)'!Q167-'IS (Base-Case)'!Q167</f>
        <v>0</v>
      </c>
      <c r="R167" s="17">
        <f>'IS (Bull-Case)'!R167-'IS (Base-Case)'!R167</f>
        <v>0</v>
      </c>
      <c r="S167" s="112">
        <f>'IS (Bull-Case)'!S167-'IS (Base-Case)'!S167</f>
        <v>0</v>
      </c>
      <c r="T167" s="112">
        <f>'IS (Bull-Case)'!T167-'IS (Base-Case)'!T167</f>
        <v>0</v>
      </c>
      <c r="U167" s="112">
        <f>'IS (Bull-Case)'!U167-'IS (Base-Case)'!U167</f>
        <v>0</v>
      </c>
      <c r="V167" s="32">
        <f>'IS (Bull-Case)'!V167-'IS (Base-Case)'!V167</f>
        <v>0</v>
      </c>
      <c r="W167" s="17">
        <f>'IS (Bull-Case)'!W167-'IS (Base-Case)'!W167</f>
        <v>0</v>
      </c>
      <c r="X167" s="32">
        <f>'IS (Bull-Case)'!X167-'IS (Base-Case)'!X167</f>
        <v>0</v>
      </c>
      <c r="Y167" s="32">
        <f>'IS (Bull-Case)'!Y167-'IS (Base-Case)'!Y167</f>
        <v>0</v>
      </c>
      <c r="Z167" s="32">
        <f>'IS (Bull-Case)'!Z167-'IS (Base-Case)'!Z167</f>
        <v>0</v>
      </c>
      <c r="AA167" s="32">
        <f>'IS (Bull-Case)'!AA167-'IS (Base-Case)'!AA167</f>
        <v>0</v>
      </c>
      <c r="AB167" s="17">
        <f>'IS (Bull-Case)'!AB167-'IS (Base-Case)'!AB167</f>
        <v>0</v>
      </c>
      <c r="AC167" s="32">
        <f>'IS (Bull-Case)'!AC167-'IS (Base-Case)'!AC167</f>
        <v>0</v>
      </c>
      <c r="AD167" s="32">
        <f>'IS (Bull-Case)'!AD167-'IS (Base-Case)'!AD167</f>
        <v>0</v>
      </c>
      <c r="AE167" s="32">
        <f>'IS (Bull-Case)'!AE167-'IS (Base-Case)'!AE167</f>
        <v>0</v>
      </c>
      <c r="AF167" s="32">
        <f>'IS (Bull-Case)'!AF167-'IS (Base-Case)'!AF167</f>
        <v>0</v>
      </c>
      <c r="AG167" s="17">
        <f>'IS (Bull-Case)'!AG167-'IS (Base-Case)'!AG167</f>
        <v>0</v>
      </c>
      <c r="AH167" s="32">
        <f>'IS (Bull-Case)'!AH167-'IS (Base-Case)'!AH167</f>
        <v>0</v>
      </c>
      <c r="AI167" s="32">
        <f>'IS (Bull-Case)'!AI167-'IS (Base-Case)'!AI167</f>
        <v>0</v>
      </c>
      <c r="AJ167" s="32">
        <f>'IS (Bull-Case)'!AJ167-'IS (Base-Case)'!AJ167</f>
        <v>0</v>
      </c>
      <c r="AK167" s="32">
        <f>'IS (Bull-Case)'!AK167-'IS (Base-Case)'!AK167</f>
        <v>0</v>
      </c>
      <c r="AL167" s="17">
        <f>'IS (Bull-Case)'!AL167-'IS (Base-Case)'!AL167</f>
        <v>0</v>
      </c>
      <c r="AM167" s="32">
        <f>'IS (Bull-Case)'!AM167-'IS (Base-Case)'!AM167</f>
        <v>0</v>
      </c>
      <c r="AN167" s="32">
        <f>'IS (Bull-Case)'!AN167-'IS (Base-Case)'!AN167</f>
        <v>0</v>
      </c>
      <c r="AO167" s="32">
        <f>'IS (Bull-Case)'!AO167-'IS (Base-Case)'!AO167</f>
        <v>0</v>
      </c>
      <c r="AP167" s="32">
        <f>'IS (Bull-Case)'!AP167-'IS (Base-Case)'!AP167</f>
        <v>0</v>
      </c>
      <c r="AQ167" s="17">
        <f>'IS (Bull-Case)'!AQ167-'IS (Base-Case)'!AQ167</f>
        <v>0</v>
      </c>
      <c r="AR167" s="32">
        <f>'IS (Bull-Case)'!AR167-'IS (Base-Case)'!AR167</f>
        <v>0</v>
      </c>
      <c r="AS167" s="32">
        <f>'IS (Bull-Case)'!AS167-'IS (Base-Case)'!AS167</f>
        <v>0</v>
      </c>
      <c r="AT167" s="32">
        <f>'IS (Bull-Case)'!AT167-'IS (Base-Case)'!AT167</f>
        <v>0</v>
      </c>
      <c r="AU167" s="32">
        <f>'IS (Bull-Case)'!AU167-'IS (Base-Case)'!AU167</f>
        <v>0</v>
      </c>
      <c r="AV167" s="17">
        <f>'IS (Bull-Case)'!AV167-'IS (Base-Case)'!AV167</f>
        <v>0</v>
      </c>
    </row>
    <row r="168" spans="2:48" s="8" customFormat="1" outlineLevel="1" x14ac:dyDescent="0.3">
      <c r="B168" s="205" t="s">
        <v>67</v>
      </c>
      <c r="C168" s="202"/>
      <c r="D168" s="103">
        <f>'IS (Bull-Case)'!D168-'IS (Base-Case)'!D168</f>
        <v>0</v>
      </c>
      <c r="E168" s="103">
        <f>'IS (Bull-Case)'!E168-'IS (Base-Case)'!E168</f>
        <v>0</v>
      </c>
      <c r="F168" s="103">
        <f>'IS (Bull-Case)'!F168-'IS (Base-Case)'!F168</f>
        <v>0</v>
      </c>
      <c r="G168" s="103">
        <f>'IS (Bull-Case)'!G168-'IS (Base-Case)'!G168</f>
        <v>0</v>
      </c>
      <c r="H168" s="171">
        <f>'IS (Bull-Case)'!H168-'IS (Base-Case)'!H168</f>
        <v>0</v>
      </c>
      <c r="I168" s="103">
        <f>'IS (Bull-Case)'!I168-'IS (Base-Case)'!I168</f>
        <v>0</v>
      </c>
      <c r="J168" s="103">
        <f>'IS (Bull-Case)'!J168-'IS (Base-Case)'!J168</f>
        <v>0</v>
      </c>
      <c r="K168" s="103">
        <f>'IS (Bull-Case)'!K168-'IS (Base-Case)'!K168</f>
        <v>0</v>
      </c>
      <c r="L168" s="103">
        <f>'IS (Bull-Case)'!L168-'IS (Base-Case)'!L168</f>
        <v>0</v>
      </c>
      <c r="M168" s="150">
        <f>'IS (Bull-Case)'!M168-'IS (Base-Case)'!M168</f>
        <v>0</v>
      </c>
      <c r="N168" s="103">
        <f>'IS (Bull-Case)'!N168-'IS (Base-Case)'!N168</f>
        <v>0</v>
      </c>
      <c r="O168" s="103">
        <f>'IS (Bull-Case)'!O168-'IS (Base-Case)'!O168</f>
        <v>0</v>
      </c>
      <c r="P168" s="103">
        <f>'IS (Bull-Case)'!P168-'IS (Base-Case)'!P168</f>
        <v>0</v>
      </c>
      <c r="Q168" s="103">
        <f>'IS (Bull-Case)'!Q168-'IS (Base-Case)'!Q168</f>
        <v>0</v>
      </c>
      <c r="R168" s="22">
        <f>'IS (Bull-Case)'!R168-'IS (Base-Case)'!R168</f>
        <v>0</v>
      </c>
      <c r="S168" s="103">
        <f>'IS (Bull-Case)'!S168-'IS (Base-Case)'!S168</f>
        <v>0</v>
      </c>
      <c r="T168" s="50">
        <f>'IS (Bull-Case)'!T168-'IS (Base-Case)'!T168</f>
        <v>0</v>
      </c>
      <c r="U168" s="50">
        <f>'IS (Bull-Case)'!U168-'IS (Base-Case)'!U168</f>
        <v>0</v>
      </c>
      <c r="V168" s="50">
        <f>'IS (Bull-Case)'!V168-'IS (Base-Case)'!V168</f>
        <v>0</v>
      </c>
      <c r="W168" s="22">
        <f>'IS (Bull-Case)'!W168-'IS (Base-Case)'!W168</f>
        <v>0</v>
      </c>
      <c r="X168" s="50">
        <f>'IS (Bull-Case)'!X168-'IS (Base-Case)'!X168</f>
        <v>0</v>
      </c>
      <c r="Y168" s="50">
        <f>'IS (Bull-Case)'!Y168-'IS (Base-Case)'!Y168</f>
        <v>0</v>
      </c>
      <c r="Z168" s="50">
        <f>'IS (Bull-Case)'!Z168-'IS (Base-Case)'!Z168</f>
        <v>0</v>
      </c>
      <c r="AA168" s="50">
        <f>'IS (Bull-Case)'!AA168-'IS (Base-Case)'!AA168</f>
        <v>0</v>
      </c>
      <c r="AB168" s="22">
        <f>'IS (Bull-Case)'!AB168-'IS (Base-Case)'!AB168</f>
        <v>0</v>
      </c>
      <c r="AC168" s="50">
        <f>'IS (Bull-Case)'!AC168-'IS (Base-Case)'!AC168</f>
        <v>0</v>
      </c>
      <c r="AD168" s="50">
        <f>'IS (Bull-Case)'!AD168-'IS (Base-Case)'!AD168</f>
        <v>0</v>
      </c>
      <c r="AE168" s="50">
        <f>'IS (Bull-Case)'!AE168-'IS (Base-Case)'!AE168</f>
        <v>0</v>
      </c>
      <c r="AF168" s="50">
        <f>'IS (Bull-Case)'!AF168-'IS (Base-Case)'!AF168</f>
        <v>0</v>
      </c>
      <c r="AG168" s="22">
        <f>'IS (Bull-Case)'!AG168-'IS (Base-Case)'!AG168</f>
        <v>0</v>
      </c>
      <c r="AH168" s="50">
        <f>'IS (Bull-Case)'!AH168-'IS (Base-Case)'!AH168</f>
        <v>0</v>
      </c>
      <c r="AI168" s="50">
        <f>'IS (Bull-Case)'!AI168-'IS (Base-Case)'!AI168</f>
        <v>0</v>
      </c>
      <c r="AJ168" s="50">
        <f>'IS (Bull-Case)'!AJ168-'IS (Base-Case)'!AJ168</f>
        <v>0</v>
      </c>
      <c r="AK168" s="50">
        <f>'IS (Bull-Case)'!AK168-'IS (Base-Case)'!AK168</f>
        <v>0</v>
      </c>
      <c r="AL168" s="22">
        <f>'IS (Bull-Case)'!AL168-'IS (Base-Case)'!AL168</f>
        <v>0</v>
      </c>
      <c r="AM168" s="50">
        <f>'IS (Bull-Case)'!AM168-'IS (Base-Case)'!AM168</f>
        <v>0</v>
      </c>
      <c r="AN168" s="50">
        <f>'IS (Bull-Case)'!AN168-'IS (Base-Case)'!AN168</f>
        <v>0</v>
      </c>
      <c r="AO168" s="50">
        <f>'IS (Bull-Case)'!AO168-'IS (Base-Case)'!AO168</f>
        <v>0</v>
      </c>
      <c r="AP168" s="50">
        <f>'IS (Bull-Case)'!AP168-'IS (Base-Case)'!AP168</f>
        <v>0</v>
      </c>
      <c r="AQ168" s="22">
        <f>'IS (Bull-Case)'!AQ168-'IS (Base-Case)'!AQ168</f>
        <v>0</v>
      </c>
      <c r="AR168" s="50">
        <f>'IS (Bull-Case)'!AR168-'IS (Base-Case)'!AR168</f>
        <v>0</v>
      </c>
      <c r="AS168" s="50">
        <f>'IS (Bull-Case)'!AS168-'IS (Base-Case)'!AS168</f>
        <v>0</v>
      </c>
      <c r="AT168" s="50">
        <f>'IS (Bull-Case)'!AT168-'IS (Base-Case)'!AT168</f>
        <v>0</v>
      </c>
      <c r="AU168" s="50">
        <f>'IS (Bull-Case)'!AU168-'IS (Base-Case)'!AU168</f>
        <v>0</v>
      </c>
      <c r="AV168" s="22">
        <f>'IS (Bull-Case)'!AV168-'IS (Base-Case)'!AV168</f>
        <v>0</v>
      </c>
    </row>
    <row r="169" spans="2:48" ht="16.2" outlineLevel="1" x14ac:dyDescent="0.45">
      <c r="B169" s="200" t="s">
        <v>155</v>
      </c>
      <c r="C169" s="201"/>
      <c r="D169" s="104">
        <f>'IS (Bull-Case)'!D169-'IS (Base-Case)'!D169</f>
        <v>0</v>
      </c>
      <c r="E169" s="104">
        <f>'IS (Bull-Case)'!E169-'IS (Base-Case)'!E169</f>
        <v>0</v>
      </c>
      <c r="F169" s="104">
        <f>'IS (Bull-Case)'!F169-'IS (Base-Case)'!F169</f>
        <v>0</v>
      </c>
      <c r="G169" s="104">
        <f>'IS (Bull-Case)'!G169-'IS (Base-Case)'!G169</f>
        <v>0</v>
      </c>
      <c r="H169" s="169">
        <f>'IS (Bull-Case)'!H169-'IS (Base-Case)'!H169</f>
        <v>0</v>
      </c>
      <c r="I169" s="104">
        <f>'IS (Bull-Case)'!I169-'IS (Base-Case)'!I169</f>
        <v>0</v>
      </c>
      <c r="J169" s="104">
        <f>'IS (Bull-Case)'!J169-'IS (Base-Case)'!J169</f>
        <v>0</v>
      </c>
      <c r="K169" s="104">
        <f>'IS (Bull-Case)'!K169-'IS (Base-Case)'!K169</f>
        <v>0</v>
      </c>
      <c r="L169" s="104">
        <f>'IS (Bull-Case)'!L169-'IS (Base-Case)'!L169</f>
        <v>0</v>
      </c>
      <c r="M169" s="169">
        <f>'IS (Bull-Case)'!M169-'IS (Base-Case)'!M169</f>
        <v>0</v>
      </c>
      <c r="N169" s="104">
        <f>'IS (Bull-Case)'!N169-'IS (Base-Case)'!N169</f>
        <v>0</v>
      </c>
      <c r="O169" s="104">
        <f>'IS (Bull-Case)'!O169-'IS (Base-Case)'!O169</f>
        <v>0</v>
      </c>
      <c r="P169" s="104">
        <f>'IS (Bull-Case)'!P169-'IS (Base-Case)'!P169</f>
        <v>0</v>
      </c>
      <c r="Q169" s="104">
        <f>'IS (Bull-Case)'!Q169-'IS (Base-Case)'!Q169</f>
        <v>0</v>
      </c>
      <c r="R169" s="17">
        <f>'IS (Bull-Case)'!R169-'IS (Base-Case)'!R169</f>
        <v>0</v>
      </c>
      <c r="S169" s="104">
        <f>'IS (Bull-Case)'!S169-'IS (Base-Case)'!S169</f>
        <v>0</v>
      </c>
      <c r="T169" s="52">
        <f>'IS (Bull-Case)'!T169-'IS (Base-Case)'!T169</f>
        <v>0</v>
      </c>
      <c r="U169" s="52">
        <f>'IS (Bull-Case)'!U169-'IS (Base-Case)'!U169</f>
        <v>0</v>
      </c>
      <c r="V169" s="52">
        <f>'IS (Bull-Case)'!V169-'IS (Base-Case)'!V169</f>
        <v>0</v>
      </c>
      <c r="W169" s="17">
        <f>'IS (Bull-Case)'!W169-'IS (Base-Case)'!W169</f>
        <v>0</v>
      </c>
      <c r="X169" s="52">
        <f>'IS (Bull-Case)'!X169-'IS (Base-Case)'!X169</f>
        <v>0</v>
      </c>
      <c r="Y169" s="52">
        <f>'IS (Bull-Case)'!Y169-'IS (Base-Case)'!Y169</f>
        <v>0</v>
      </c>
      <c r="Z169" s="52">
        <f>'IS (Bull-Case)'!Z169-'IS (Base-Case)'!Z169</f>
        <v>0</v>
      </c>
      <c r="AA169" s="52">
        <f>'IS (Bull-Case)'!AA169-'IS (Base-Case)'!AA169</f>
        <v>0</v>
      </c>
      <c r="AB169" s="17">
        <f>'IS (Bull-Case)'!AB169-'IS (Base-Case)'!AB169</f>
        <v>0</v>
      </c>
      <c r="AC169" s="52">
        <f>'IS (Bull-Case)'!AC169-'IS (Base-Case)'!AC169</f>
        <v>0</v>
      </c>
      <c r="AD169" s="52">
        <f>'IS (Bull-Case)'!AD169-'IS (Base-Case)'!AD169</f>
        <v>0</v>
      </c>
      <c r="AE169" s="52">
        <f>'IS (Bull-Case)'!AE169-'IS (Base-Case)'!AE169</f>
        <v>0</v>
      </c>
      <c r="AF169" s="52">
        <f>'IS (Bull-Case)'!AF169-'IS (Base-Case)'!AF169</f>
        <v>0</v>
      </c>
      <c r="AG169" s="17">
        <f>'IS (Bull-Case)'!AG169-'IS (Base-Case)'!AG169</f>
        <v>0</v>
      </c>
      <c r="AH169" s="52">
        <f>'IS (Bull-Case)'!AH169-'IS (Base-Case)'!AH169</f>
        <v>0</v>
      </c>
      <c r="AI169" s="52">
        <f>'IS (Bull-Case)'!AI169-'IS (Base-Case)'!AI169</f>
        <v>0</v>
      </c>
      <c r="AJ169" s="52">
        <f>'IS (Bull-Case)'!AJ169-'IS (Base-Case)'!AJ169</f>
        <v>0</v>
      </c>
      <c r="AK169" s="52">
        <f>'IS (Bull-Case)'!AK169-'IS (Base-Case)'!AK169</f>
        <v>0</v>
      </c>
      <c r="AL169" s="17">
        <f>'IS (Bull-Case)'!AL169-'IS (Base-Case)'!AL169</f>
        <v>0</v>
      </c>
      <c r="AM169" s="52">
        <f>'IS (Bull-Case)'!AM169-'IS (Base-Case)'!AM169</f>
        <v>0</v>
      </c>
      <c r="AN169" s="52">
        <f>'IS (Bull-Case)'!AN169-'IS (Base-Case)'!AN169</f>
        <v>0</v>
      </c>
      <c r="AO169" s="52">
        <f>'IS (Bull-Case)'!AO169-'IS (Base-Case)'!AO169</f>
        <v>0</v>
      </c>
      <c r="AP169" s="52">
        <f>'IS (Bull-Case)'!AP169-'IS (Base-Case)'!AP169</f>
        <v>0</v>
      </c>
      <c r="AQ169" s="17">
        <f>'IS (Bull-Case)'!AQ169-'IS (Base-Case)'!AQ169</f>
        <v>0</v>
      </c>
      <c r="AR169" s="52">
        <f>'IS (Bull-Case)'!AR169-'IS (Base-Case)'!AR169</f>
        <v>0</v>
      </c>
      <c r="AS169" s="52">
        <f>'IS (Bull-Case)'!AS169-'IS (Base-Case)'!AS169</f>
        <v>0</v>
      </c>
      <c r="AT169" s="52">
        <f>'IS (Bull-Case)'!AT169-'IS (Base-Case)'!AT169</f>
        <v>0</v>
      </c>
      <c r="AU169" s="52">
        <f>'IS (Bull-Case)'!AU169-'IS (Base-Case)'!AU169</f>
        <v>0</v>
      </c>
      <c r="AV169" s="17">
        <f>'IS (Bull-Case)'!AV169-'IS (Base-Case)'!AV169</f>
        <v>0</v>
      </c>
    </row>
    <row r="170" spans="2:48" s="8" customFormat="1" outlineLevel="1" x14ac:dyDescent="0.3">
      <c r="B170" s="205" t="s">
        <v>68</v>
      </c>
      <c r="C170" s="202"/>
      <c r="D170" s="103">
        <f>'IS (Bull-Case)'!D170-'IS (Base-Case)'!D170</f>
        <v>0</v>
      </c>
      <c r="E170" s="103">
        <f>'IS (Bull-Case)'!E170-'IS (Base-Case)'!E170</f>
        <v>0</v>
      </c>
      <c r="F170" s="103">
        <f>'IS (Bull-Case)'!F170-'IS (Base-Case)'!F170</f>
        <v>0</v>
      </c>
      <c r="G170" s="103">
        <f>'IS (Bull-Case)'!G170-'IS (Base-Case)'!G170</f>
        <v>0</v>
      </c>
      <c r="H170" s="150">
        <f>'IS (Bull-Case)'!H170-'IS (Base-Case)'!H170</f>
        <v>0</v>
      </c>
      <c r="I170" s="103">
        <f>'IS (Bull-Case)'!I170-'IS (Base-Case)'!I170</f>
        <v>0</v>
      </c>
      <c r="J170" s="103">
        <f>'IS (Bull-Case)'!J170-'IS (Base-Case)'!J170</f>
        <v>0</v>
      </c>
      <c r="K170" s="103">
        <f>'IS (Bull-Case)'!K170-'IS (Base-Case)'!K170</f>
        <v>0</v>
      </c>
      <c r="L170" s="103">
        <f>'IS (Bull-Case)'!L170-'IS (Base-Case)'!L170</f>
        <v>0</v>
      </c>
      <c r="M170" s="150">
        <f>'IS (Bull-Case)'!M170-'IS (Base-Case)'!M170</f>
        <v>0</v>
      </c>
      <c r="N170" s="103">
        <f>'IS (Bull-Case)'!N170-'IS (Base-Case)'!N170</f>
        <v>0</v>
      </c>
      <c r="O170" s="103">
        <f>'IS (Bull-Case)'!O170-'IS (Base-Case)'!O170</f>
        <v>0</v>
      </c>
      <c r="P170" s="103">
        <f>'IS (Bull-Case)'!P170-'IS (Base-Case)'!P170</f>
        <v>0</v>
      </c>
      <c r="Q170" s="103">
        <f>'IS (Bull-Case)'!Q170-'IS (Base-Case)'!Q170</f>
        <v>0</v>
      </c>
      <c r="R170" s="22">
        <f>'IS (Bull-Case)'!R170-'IS (Base-Case)'!R170</f>
        <v>0</v>
      </c>
      <c r="S170" s="103">
        <f>'IS (Bull-Case)'!S170-'IS (Base-Case)'!S170</f>
        <v>0</v>
      </c>
      <c r="T170" s="50">
        <f>'IS (Bull-Case)'!T170-'IS (Base-Case)'!T170</f>
        <v>0</v>
      </c>
      <c r="U170" s="50">
        <f>'IS (Bull-Case)'!U170-'IS (Base-Case)'!U170</f>
        <v>0</v>
      </c>
      <c r="V170" s="50">
        <f>'IS (Bull-Case)'!V170-'IS (Base-Case)'!V170</f>
        <v>0</v>
      </c>
      <c r="W170" s="22">
        <f>'IS (Bull-Case)'!W170-'IS (Base-Case)'!W170</f>
        <v>0</v>
      </c>
      <c r="X170" s="50">
        <f>'IS (Bull-Case)'!X170-'IS (Base-Case)'!X170</f>
        <v>0</v>
      </c>
      <c r="Y170" s="50">
        <f>'IS (Bull-Case)'!Y170-'IS (Base-Case)'!Y170</f>
        <v>0</v>
      </c>
      <c r="Z170" s="50">
        <f>'IS (Bull-Case)'!Z170-'IS (Base-Case)'!Z170</f>
        <v>0</v>
      </c>
      <c r="AA170" s="50">
        <f>'IS (Bull-Case)'!AA170-'IS (Base-Case)'!AA170</f>
        <v>0</v>
      </c>
      <c r="AB170" s="22">
        <f>'IS (Bull-Case)'!AB170-'IS (Base-Case)'!AB170</f>
        <v>0</v>
      </c>
      <c r="AC170" s="50">
        <f>'IS (Bull-Case)'!AC170-'IS (Base-Case)'!AC170</f>
        <v>0</v>
      </c>
      <c r="AD170" s="50">
        <f>'IS (Bull-Case)'!AD170-'IS (Base-Case)'!AD170</f>
        <v>0</v>
      </c>
      <c r="AE170" s="50">
        <f>'IS (Bull-Case)'!AE170-'IS (Base-Case)'!AE170</f>
        <v>0</v>
      </c>
      <c r="AF170" s="50">
        <f>'IS (Bull-Case)'!AF170-'IS (Base-Case)'!AF170</f>
        <v>0</v>
      </c>
      <c r="AG170" s="22">
        <f>'IS (Bull-Case)'!AG170-'IS (Base-Case)'!AG170</f>
        <v>0</v>
      </c>
      <c r="AH170" s="50">
        <f>'IS (Bull-Case)'!AH170-'IS (Base-Case)'!AH170</f>
        <v>0</v>
      </c>
      <c r="AI170" s="50">
        <f>'IS (Bull-Case)'!AI170-'IS (Base-Case)'!AI170</f>
        <v>0</v>
      </c>
      <c r="AJ170" s="50">
        <f>'IS (Bull-Case)'!AJ170-'IS (Base-Case)'!AJ170</f>
        <v>0</v>
      </c>
      <c r="AK170" s="50">
        <f>'IS (Bull-Case)'!AK170-'IS (Base-Case)'!AK170</f>
        <v>0</v>
      </c>
      <c r="AL170" s="22">
        <f>'IS (Bull-Case)'!AL170-'IS (Base-Case)'!AL170</f>
        <v>0</v>
      </c>
      <c r="AM170" s="50">
        <f>'IS (Bull-Case)'!AM170-'IS (Base-Case)'!AM170</f>
        <v>0</v>
      </c>
      <c r="AN170" s="50">
        <f>'IS (Bull-Case)'!AN170-'IS (Base-Case)'!AN170</f>
        <v>0</v>
      </c>
      <c r="AO170" s="50">
        <f>'IS (Bull-Case)'!AO170-'IS (Base-Case)'!AO170</f>
        <v>0</v>
      </c>
      <c r="AP170" s="50">
        <f>'IS (Bull-Case)'!AP170-'IS (Base-Case)'!AP170</f>
        <v>0</v>
      </c>
      <c r="AQ170" s="22">
        <f>'IS (Bull-Case)'!AQ170-'IS (Base-Case)'!AQ170</f>
        <v>0</v>
      </c>
      <c r="AR170" s="50">
        <f>'IS (Bull-Case)'!AR170-'IS (Base-Case)'!AR170</f>
        <v>0</v>
      </c>
      <c r="AS170" s="50">
        <f>'IS (Bull-Case)'!AS170-'IS (Base-Case)'!AS170</f>
        <v>0</v>
      </c>
      <c r="AT170" s="50">
        <f>'IS (Bull-Case)'!AT170-'IS (Base-Case)'!AT170</f>
        <v>0</v>
      </c>
      <c r="AU170" s="50">
        <f>'IS (Bull-Case)'!AU170-'IS (Base-Case)'!AU170</f>
        <v>0</v>
      </c>
      <c r="AV170" s="22">
        <f>'IS (Bull-Case)'!AV170-'IS (Base-Case)'!AV170</f>
        <v>0</v>
      </c>
    </row>
    <row r="171" spans="2:48" outlineLevel="1" x14ac:dyDescent="0.3">
      <c r="B171" s="200" t="s">
        <v>69</v>
      </c>
      <c r="C171" s="201"/>
      <c r="D171" s="105">
        <f>'IS (Bull-Case)'!D171-'IS (Base-Case)'!D171</f>
        <v>0</v>
      </c>
      <c r="E171" s="101">
        <f>'IS (Bull-Case)'!E171-'IS (Base-Case)'!E171</f>
        <v>0</v>
      </c>
      <c r="F171" s="101">
        <f>'IS (Bull-Case)'!F171-'IS (Base-Case)'!F171</f>
        <v>0</v>
      </c>
      <c r="G171" s="101">
        <f>'IS (Bull-Case)'!G171-'IS (Base-Case)'!G171</f>
        <v>0</v>
      </c>
      <c r="H171" s="169">
        <f>'IS (Bull-Case)'!H171-'IS (Base-Case)'!H171</f>
        <v>0</v>
      </c>
      <c r="I171" s="101">
        <f>'IS (Bull-Case)'!I171-'IS (Base-Case)'!I171</f>
        <v>0</v>
      </c>
      <c r="J171" s="101">
        <f>'IS (Bull-Case)'!J171-'IS (Base-Case)'!J171</f>
        <v>0</v>
      </c>
      <c r="K171" s="101">
        <f>'IS (Bull-Case)'!K171-'IS (Base-Case)'!K171</f>
        <v>0</v>
      </c>
      <c r="L171" s="101">
        <f>'IS (Bull-Case)'!L171-'IS (Base-Case)'!L171</f>
        <v>0</v>
      </c>
      <c r="M171" s="169">
        <f>'IS (Bull-Case)'!M171-'IS (Base-Case)'!M171</f>
        <v>0</v>
      </c>
      <c r="N171" s="101">
        <f>'IS (Bull-Case)'!N171-'IS (Base-Case)'!N171</f>
        <v>0</v>
      </c>
      <c r="O171" s="101">
        <f>'IS (Bull-Case)'!O171-'IS (Base-Case)'!O171</f>
        <v>0</v>
      </c>
      <c r="P171" s="101">
        <f>'IS (Bull-Case)'!P171-'IS (Base-Case)'!P171</f>
        <v>0</v>
      </c>
      <c r="Q171" s="101">
        <f>'IS (Bull-Case)'!Q171-'IS (Base-Case)'!Q171</f>
        <v>0</v>
      </c>
      <c r="R171" s="17">
        <f>'IS (Bull-Case)'!R171-'IS (Base-Case)'!R171</f>
        <v>0</v>
      </c>
      <c r="S171" s="101">
        <f>'IS (Bull-Case)'!S171-'IS (Base-Case)'!S171</f>
        <v>0</v>
      </c>
      <c r="T171" s="101">
        <f>'IS (Bull-Case)'!T171-'IS (Base-Case)'!T171</f>
        <v>0</v>
      </c>
      <c r="U171" s="101">
        <f>'IS (Bull-Case)'!U171-'IS (Base-Case)'!U171</f>
        <v>0</v>
      </c>
      <c r="V171" s="33">
        <f>'IS (Bull-Case)'!V171-'IS (Base-Case)'!V171</f>
        <v>0</v>
      </c>
      <c r="W171" s="17">
        <f>'IS (Bull-Case)'!W171-'IS (Base-Case)'!W171</f>
        <v>0</v>
      </c>
      <c r="X171" s="33">
        <f>'IS (Bull-Case)'!X171-'IS (Base-Case)'!X171</f>
        <v>0</v>
      </c>
      <c r="Y171" s="33">
        <f>'IS (Bull-Case)'!Y171-'IS (Base-Case)'!Y171</f>
        <v>0</v>
      </c>
      <c r="Z171" s="33">
        <f>'IS (Bull-Case)'!Z171-'IS (Base-Case)'!Z171</f>
        <v>0</v>
      </c>
      <c r="AA171" s="33">
        <f>'IS (Bull-Case)'!AA171-'IS (Base-Case)'!AA171</f>
        <v>0</v>
      </c>
      <c r="AB171" s="17">
        <f>'IS (Bull-Case)'!AB171-'IS (Base-Case)'!AB171</f>
        <v>0</v>
      </c>
      <c r="AC171" s="33">
        <f>'IS (Bull-Case)'!AC171-'IS (Base-Case)'!AC171</f>
        <v>0</v>
      </c>
      <c r="AD171" s="33">
        <f>'IS (Bull-Case)'!AD171-'IS (Base-Case)'!AD171</f>
        <v>0</v>
      </c>
      <c r="AE171" s="33">
        <f>'IS (Bull-Case)'!AE171-'IS (Base-Case)'!AE171</f>
        <v>0</v>
      </c>
      <c r="AF171" s="33">
        <f>'IS (Bull-Case)'!AF171-'IS (Base-Case)'!AF171</f>
        <v>0</v>
      </c>
      <c r="AG171" s="17">
        <f>'IS (Bull-Case)'!AG171-'IS (Base-Case)'!AG171</f>
        <v>0</v>
      </c>
      <c r="AH171" s="33">
        <f>'IS (Bull-Case)'!AH171-'IS (Base-Case)'!AH171</f>
        <v>0</v>
      </c>
      <c r="AI171" s="33">
        <f>'IS (Bull-Case)'!AI171-'IS (Base-Case)'!AI171</f>
        <v>0</v>
      </c>
      <c r="AJ171" s="33">
        <f>'IS (Bull-Case)'!AJ171-'IS (Base-Case)'!AJ171</f>
        <v>0</v>
      </c>
      <c r="AK171" s="33">
        <f>'IS (Bull-Case)'!AK171-'IS (Base-Case)'!AK171</f>
        <v>0</v>
      </c>
      <c r="AL171" s="17">
        <f>'IS (Bull-Case)'!AL171-'IS (Base-Case)'!AL171</f>
        <v>0</v>
      </c>
      <c r="AM171" s="33">
        <f>'IS (Bull-Case)'!AM171-'IS (Base-Case)'!AM171</f>
        <v>0</v>
      </c>
      <c r="AN171" s="33">
        <f>'IS (Bull-Case)'!AN171-'IS (Base-Case)'!AN171</f>
        <v>0</v>
      </c>
      <c r="AO171" s="33">
        <f>'IS (Bull-Case)'!AO171-'IS (Base-Case)'!AO171</f>
        <v>0</v>
      </c>
      <c r="AP171" s="33">
        <f>'IS (Bull-Case)'!AP171-'IS (Base-Case)'!AP171</f>
        <v>0</v>
      </c>
      <c r="AQ171" s="17">
        <f>'IS (Bull-Case)'!AQ171-'IS (Base-Case)'!AQ171</f>
        <v>0</v>
      </c>
      <c r="AR171" s="33">
        <f>'IS (Bull-Case)'!AR171-'IS (Base-Case)'!AR171</f>
        <v>0</v>
      </c>
      <c r="AS171" s="33">
        <f>'IS (Bull-Case)'!AS171-'IS (Base-Case)'!AS171</f>
        <v>0</v>
      </c>
      <c r="AT171" s="33">
        <f>'IS (Bull-Case)'!AT171-'IS (Base-Case)'!AT171</f>
        <v>0</v>
      </c>
      <c r="AU171" s="33">
        <f>'IS (Bull-Case)'!AU171-'IS (Base-Case)'!AU171</f>
        <v>0</v>
      </c>
      <c r="AV171" s="17">
        <f>'IS (Bull-Case)'!AV171-'IS (Base-Case)'!AV171</f>
        <v>0</v>
      </c>
    </row>
    <row r="172" spans="2:48" outlineLevel="1" x14ac:dyDescent="0.3">
      <c r="B172" s="435" t="s">
        <v>75</v>
      </c>
      <c r="C172" s="436"/>
      <c r="D172" s="105">
        <f>'IS (Bull-Case)'!D172-'IS (Base-Case)'!D172</f>
        <v>0</v>
      </c>
      <c r="E172" s="101">
        <f>'IS (Bull-Case)'!E172-'IS (Base-Case)'!E172</f>
        <v>0</v>
      </c>
      <c r="F172" s="101">
        <f>'IS (Bull-Case)'!F172-'IS (Base-Case)'!F172</f>
        <v>0</v>
      </c>
      <c r="G172" s="101">
        <f>'IS (Bull-Case)'!G172-'IS (Base-Case)'!G172</f>
        <v>0</v>
      </c>
      <c r="H172" s="169">
        <f>'IS (Bull-Case)'!H172-'IS (Base-Case)'!H172</f>
        <v>0</v>
      </c>
      <c r="I172" s="101">
        <f>'IS (Bull-Case)'!I172-'IS (Base-Case)'!I172</f>
        <v>0</v>
      </c>
      <c r="J172" s="101">
        <f>'IS (Bull-Case)'!J172-'IS (Base-Case)'!J172</f>
        <v>0</v>
      </c>
      <c r="K172" s="101">
        <f>'IS (Bull-Case)'!K172-'IS (Base-Case)'!K172</f>
        <v>0</v>
      </c>
      <c r="L172" s="101">
        <f>'IS (Bull-Case)'!L172-'IS (Base-Case)'!L172</f>
        <v>0</v>
      </c>
      <c r="M172" s="169">
        <f>'IS (Bull-Case)'!M172-'IS (Base-Case)'!M172</f>
        <v>0</v>
      </c>
      <c r="N172" s="101">
        <f>'IS (Bull-Case)'!N172-'IS (Base-Case)'!N172</f>
        <v>0</v>
      </c>
      <c r="O172" s="101">
        <f>'IS (Bull-Case)'!O172-'IS (Base-Case)'!O172</f>
        <v>0</v>
      </c>
      <c r="P172" s="101">
        <f>'IS (Bull-Case)'!P172-'IS (Base-Case)'!P172</f>
        <v>0</v>
      </c>
      <c r="Q172" s="101">
        <f>'IS (Bull-Case)'!Q172-'IS (Base-Case)'!Q172</f>
        <v>0</v>
      </c>
      <c r="R172" s="17">
        <f>'IS (Bull-Case)'!R172-'IS (Base-Case)'!R172</f>
        <v>0</v>
      </c>
      <c r="S172" s="101">
        <f>'IS (Bull-Case)'!S172-'IS (Base-Case)'!S172</f>
        <v>0</v>
      </c>
      <c r="T172" s="16">
        <f>'IS (Bull-Case)'!T172-'IS (Base-Case)'!T172</f>
        <v>0</v>
      </c>
      <c r="U172" s="16">
        <f>'IS (Bull-Case)'!U172-'IS (Base-Case)'!U172</f>
        <v>0</v>
      </c>
      <c r="V172" s="16">
        <f>'IS (Bull-Case)'!V172-'IS (Base-Case)'!V172</f>
        <v>0</v>
      </c>
      <c r="W172" s="17">
        <f>'IS (Bull-Case)'!W172-'IS (Base-Case)'!W172</f>
        <v>0</v>
      </c>
      <c r="X172" s="16">
        <f>'IS (Bull-Case)'!X172-'IS (Base-Case)'!X172</f>
        <v>0</v>
      </c>
      <c r="Y172" s="16">
        <f>'IS (Bull-Case)'!Y172-'IS (Base-Case)'!Y172</f>
        <v>0</v>
      </c>
      <c r="Z172" s="16">
        <f>'IS (Bull-Case)'!Z172-'IS (Base-Case)'!Z172</f>
        <v>0</v>
      </c>
      <c r="AA172" s="16">
        <f>'IS (Bull-Case)'!AA172-'IS (Base-Case)'!AA172</f>
        <v>0</v>
      </c>
      <c r="AB172" s="17">
        <f>'IS (Bull-Case)'!AB172-'IS (Base-Case)'!AB172</f>
        <v>0</v>
      </c>
      <c r="AC172" s="16">
        <f>'IS (Bull-Case)'!AC172-'IS (Base-Case)'!AC172</f>
        <v>0</v>
      </c>
      <c r="AD172" s="16">
        <f>'IS (Bull-Case)'!AD172-'IS (Base-Case)'!AD172</f>
        <v>0</v>
      </c>
      <c r="AE172" s="16">
        <f>'IS (Bull-Case)'!AE172-'IS (Base-Case)'!AE172</f>
        <v>0</v>
      </c>
      <c r="AF172" s="16">
        <f>'IS (Bull-Case)'!AF172-'IS (Base-Case)'!AF172</f>
        <v>0</v>
      </c>
      <c r="AG172" s="17">
        <f>'IS (Bull-Case)'!AG172-'IS (Base-Case)'!AG172</f>
        <v>0</v>
      </c>
      <c r="AH172" s="16">
        <f>'IS (Bull-Case)'!AH172-'IS (Base-Case)'!AH172</f>
        <v>0</v>
      </c>
      <c r="AI172" s="16">
        <f>'IS (Bull-Case)'!AI172-'IS (Base-Case)'!AI172</f>
        <v>0</v>
      </c>
      <c r="AJ172" s="16">
        <f>'IS (Bull-Case)'!AJ172-'IS (Base-Case)'!AJ172</f>
        <v>0</v>
      </c>
      <c r="AK172" s="16">
        <f>'IS (Bull-Case)'!AK172-'IS (Base-Case)'!AK172</f>
        <v>0</v>
      </c>
      <c r="AL172" s="17">
        <f>'IS (Bull-Case)'!AL172-'IS (Base-Case)'!AL172</f>
        <v>0</v>
      </c>
      <c r="AM172" s="16">
        <f>'IS (Bull-Case)'!AM172-'IS (Base-Case)'!AM172</f>
        <v>0</v>
      </c>
      <c r="AN172" s="16">
        <f>'IS (Bull-Case)'!AN172-'IS (Base-Case)'!AN172</f>
        <v>0</v>
      </c>
      <c r="AO172" s="16">
        <f>'IS (Bull-Case)'!AO172-'IS (Base-Case)'!AO172</f>
        <v>0</v>
      </c>
      <c r="AP172" s="16">
        <f>'IS (Bull-Case)'!AP172-'IS (Base-Case)'!AP172</f>
        <v>0</v>
      </c>
      <c r="AQ172" s="17">
        <f>'IS (Bull-Case)'!AQ172-'IS (Base-Case)'!AQ172</f>
        <v>0</v>
      </c>
      <c r="AR172" s="16">
        <f>'IS (Bull-Case)'!AR172-'IS (Base-Case)'!AR172</f>
        <v>0</v>
      </c>
      <c r="AS172" s="16">
        <f>'IS (Bull-Case)'!AS172-'IS (Base-Case)'!AS172</f>
        <v>0</v>
      </c>
      <c r="AT172" s="16">
        <f>'IS (Bull-Case)'!AT172-'IS (Base-Case)'!AT172</f>
        <v>0</v>
      </c>
      <c r="AU172" s="16">
        <f>'IS (Bull-Case)'!AU172-'IS (Base-Case)'!AU172</f>
        <v>0</v>
      </c>
      <c r="AV172" s="17">
        <f>'IS (Bull-Case)'!AV172-'IS (Base-Case)'!AV172</f>
        <v>0</v>
      </c>
    </row>
    <row r="173" spans="2:48" outlineLevel="1" x14ac:dyDescent="0.3">
      <c r="B173" s="203" t="s">
        <v>76</v>
      </c>
      <c r="C173" s="204"/>
      <c r="D173" s="211">
        <f>'IS (Bull-Case)'!D173-'IS (Base-Case)'!D173</f>
        <v>0</v>
      </c>
      <c r="E173" s="211">
        <f>'IS (Bull-Case)'!E173-'IS (Base-Case)'!E173</f>
        <v>0</v>
      </c>
      <c r="F173" s="211">
        <f>'IS (Bull-Case)'!F173-'IS (Base-Case)'!F173</f>
        <v>0</v>
      </c>
      <c r="G173" s="211">
        <f>'IS (Bull-Case)'!G173-'IS (Base-Case)'!G173</f>
        <v>0</v>
      </c>
      <c r="H173" s="212">
        <f>'IS (Bull-Case)'!H173-'IS (Base-Case)'!H173</f>
        <v>0</v>
      </c>
      <c r="I173" s="211">
        <f>'IS (Bull-Case)'!I173-'IS (Base-Case)'!I173</f>
        <v>0</v>
      </c>
      <c r="J173" s="211">
        <f>'IS (Bull-Case)'!J173-'IS (Base-Case)'!J173</f>
        <v>0</v>
      </c>
      <c r="K173" s="211">
        <f>'IS (Bull-Case)'!K173-'IS (Base-Case)'!K173</f>
        <v>0</v>
      </c>
      <c r="L173" s="211">
        <f>'IS (Bull-Case)'!L173-'IS (Base-Case)'!L173</f>
        <v>0</v>
      </c>
      <c r="M173" s="212">
        <f>'IS (Bull-Case)'!M173-'IS (Base-Case)'!M173</f>
        <v>0</v>
      </c>
      <c r="N173" s="211">
        <f>'IS (Bull-Case)'!N173-'IS (Base-Case)'!N173</f>
        <v>0</v>
      </c>
      <c r="O173" s="211">
        <f>'IS (Bull-Case)'!O173-'IS (Base-Case)'!O173</f>
        <v>0</v>
      </c>
      <c r="P173" s="211">
        <f>'IS (Bull-Case)'!P173-'IS (Base-Case)'!P173</f>
        <v>0</v>
      </c>
      <c r="Q173" s="211">
        <f>'IS (Bull-Case)'!Q173-'IS (Base-Case)'!Q173</f>
        <v>0</v>
      </c>
      <c r="R173" s="37">
        <f>'IS (Bull-Case)'!R173-'IS (Base-Case)'!R173</f>
        <v>0</v>
      </c>
      <c r="S173" s="211">
        <f>'IS (Bull-Case)'!S173-'IS (Base-Case)'!S173</f>
        <v>0</v>
      </c>
      <c r="T173" s="211">
        <f>'IS (Bull-Case)'!T173-'IS (Base-Case)'!T173</f>
        <v>0</v>
      </c>
      <c r="U173" s="211">
        <f>'IS (Bull-Case)'!U173-'IS (Base-Case)'!U173</f>
        <v>0</v>
      </c>
      <c r="V173" s="94">
        <f>'IS (Bull-Case)'!V173-'IS (Base-Case)'!V173</f>
        <v>0</v>
      </c>
      <c r="W173" s="37">
        <f>'IS (Bull-Case)'!W173-'IS (Base-Case)'!W173</f>
        <v>0</v>
      </c>
      <c r="X173" s="94">
        <f>'IS (Bull-Case)'!X173-'IS (Base-Case)'!X173</f>
        <v>0</v>
      </c>
      <c r="Y173" s="94">
        <f>'IS (Bull-Case)'!Y173-'IS (Base-Case)'!Y173</f>
        <v>0</v>
      </c>
      <c r="Z173" s="94">
        <f>'IS (Bull-Case)'!Z173-'IS (Base-Case)'!Z173</f>
        <v>0</v>
      </c>
      <c r="AA173" s="94">
        <f>'IS (Bull-Case)'!AA173-'IS (Base-Case)'!AA173</f>
        <v>0</v>
      </c>
      <c r="AB173" s="37">
        <f>'IS (Bull-Case)'!AB173-'IS (Base-Case)'!AB173</f>
        <v>0</v>
      </c>
      <c r="AC173" s="94">
        <f>'IS (Bull-Case)'!AC173-'IS (Base-Case)'!AC173</f>
        <v>0</v>
      </c>
      <c r="AD173" s="94">
        <f>'IS (Bull-Case)'!AD173-'IS (Base-Case)'!AD173</f>
        <v>0</v>
      </c>
      <c r="AE173" s="94">
        <f>'IS (Bull-Case)'!AE173-'IS (Base-Case)'!AE173</f>
        <v>0</v>
      </c>
      <c r="AF173" s="94">
        <f>'IS (Bull-Case)'!AF173-'IS (Base-Case)'!AF173</f>
        <v>0</v>
      </c>
      <c r="AG173" s="37">
        <f>'IS (Bull-Case)'!AG173-'IS (Base-Case)'!AG173</f>
        <v>0</v>
      </c>
      <c r="AH173" s="94">
        <f>'IS (Bull-Case)'!AH173-'IS (Base-Case)'!AH173</f>
        <v>0</v>
      </c>
      <c r="AI173" s="94">
        <f>'IS (Bull-Case)'!AI173-'IS (Base-Case)'!AI173</f>
        <v>0</v>
      </c>
      <c r="AJ173" s="94">
        <f>'IS (Bull-Case)'!AJ173-'IS (Base-Case)'!AJ173</f>
        <v>0</v>
      </c>
      <c r="AK173" s="94">
        <f>'IS (Bull-Case)'!AK173-'IS (Base-Case)'!AK173</f>
        <v>0</v>
      </c>
      <c r="AL173" s="37">
        <f>'IS (Bull-Case)'!AL173-'IS (Base-Case)'!AL173</f>
        <v>0</v>
      </c>
      <c r="AM173" s="94">
        <f>'IS (Bull-Case)'!AM173-'IS (Base-Case)'!AM173</f>
        <v>0</v>
      </c>
      <c r="AN173" s="94">
        <f>'IS (Bull-Case)'!AN173-'IS (Base-Case)'!AN173</f>
        <v>0</v>
      </c>
      <c r="AO173" s="94">
        <f>'IS (Bull-Case)'!AO173-'IS (Base-Case)'!AO173</f>
        <v>0</v>
      </c>
      <c r="AP173" s="94">
        <f>'IS (Bull-Case)'!AP173-'IS (Base-Case)'!AP173</f>
        <v>0</v>
      </c>
      <c r="AQ173" s="37">
        <f>'IS (Bull-Case)'!AQ173-'IS (Base-Case)'!AQ173</f>
        <v>0</v>
      </c>
      <c r="AR173" s="94">
        <f>'IS (Bull-Case)'!AR173-'IS (Base-Case)'!AR173</f>
        <v>0</v>
      </c>
      <c r="AS173" s="94">
        <f>'IS (Bull-Case)'!AS173-'IS (Base-Case)'!AS173</f>
        <v>0</v>
      </c>
      <c r="AT173" s="94">
        <f>'IS (Bull-Case)'!AT173-'IS (Base-Case)'!AT173</f>
        <v>0</v>
      </c>
      <c r="AU173" s="94">
        <f>'IS (Bull-Case)'!AU173-'IS (Base-Case)'!AU173</f>
        <v>0</v>
      </c>
      <c r="AV173" s="37">
        <f>'IS (Bull-Case)'!AV173-'IS (Base-Case)'!AV173</f>
        <v>0</v>
      </c>
    </row>
    <row r="175" spans="2:48" x14ac:dyDescent="0.3">
      <c r="B175" s="382" t="s">
        <v>315</v>
      </c>
      <c r="Q175" s="383">
        <f>'IS (Bull-Case)'!Q175-'IS (Base-Case)'!Q175</f>
        <v>0</v>
      </c>
      <c r="R175" s="383">
        <f>'IS (Bull-Case)'!R175-'IS (Base-Case)'!R175</f>
        <v>0</v>
      </c>
      <c r="S175" s="383">
        <f>'IS (Bull-Case)'!S175-'IS (Base-Case)'!S175</f>
        <v>0</v>
      </c>
      <c r="T175" s="383">
        <f>'IS (Bull-Case)'!T175-'IS (Base-Case)'!T175</f>
        <v>0</v>
      </c>
      <c r="U175" s="383">
        <f>'IS (Bull-Case)'!U175-'IS (Base-Case)'!U175</f>
        <v>0</v>
      </c>
      <c r="V175" s="383">
        <f>'IS (Bull-Case)'!V175-'IS (Base-Case)'!V175</f>
        <v>0</v>
      </c>
      <c r="W175" s="383">
        <f>'IS (Bull-Case)'!W175-'IS (Base-Case)'!W175</f>
        <v>0</v>
      </c>
      <c r="X175" s="383">
        <f>'IS (Bull-Case)'!X175-'IS (Base-Case)'!X175</f>
        <v>0</v>
      </c>
      <c r="Y175" s="383">
        <f>'IS (Bull-Case)'!Y175-'IS (Base-Case)'!Y175</f>
        <v>0</v>
      </c>
      <c r="Z175" s="383">
        <f>'IS (Bull-Case)'!Z175-'IS (Base-Case)'!Z175</f>
        <v>0</v>
      </c>
      <c r="AA175" s="383">
        <f>'IS (Bull-Case)'!AA175-'IS (Base-Case)'!AA175</f>
        <v>0</v>
      </c>
      <c r="AB175" s="383">
        <f>'IS (Bull-Case)'!AB175-'IS (Base-Case)'!AB175</f>
        <v>0</v>
      </c>
      <c r="AC175" s="383">
        <f>'IS (Bull-Case)'!AC175-'IS (Base-Case)'!AC175</f>
        <v>-1.0000000000000009E-3</v>
      </c>
      <c r="AD175" s="383">
        <f>'IS (Bull-Case)'!AD175-'IS (Base-Case)'!AD175</f>
        <v>-1.0000000000000009E-3</v>
      </c>
      <c r="AE175" s="383">
        <f>'IS (Bull-Case)'!AE175-'IS (Base-Case)'!AE175</f>
        <v>-1.0000000000000009E-3</v>
      </c>
      <c r="AF175" s="383">
        <f>'IS (Bull-Case)'!AF175-'IS (Base-Case)'!AF175</f>
        <v>-1.0000000000000009E-3</v>
      </c>
      <c r="AG175" s="3">
        <f>'IS (Bull-Case)'!AG175-'IS (Base-Case)'!AG175</f>
        <v>0</v>
      </c>
      <c r="AH175" s="383">
        <f>'IS (Bull-Case)'!AH175-'IS (Base-Case)'!AH175</f>
        <v>-1.0000000000000009E-3</v>
      </c>
      <c r="AI175" s="383">
        <f>'IS (Bull-Case)'!AI175-'IS (Base-Case)'!AI175</f>
        <v>-1.0000000000000009E-3</v>
      </c>
      <c r="AJ175" s="383">
        <f>'IS (Bull-Case)'!AJ175-'IS (Base-Case)'!AJ175</f>
        <v>-1.0000000000000009E-3</v>
      </c>
      <c r="AK175" s="383">
        <f>'IS (Bull-Case)'!AK175-'IS (Base-Case)'!AK175</f>
        <v>-1.0000000000000009E-3</v>
      </c>
      <c r="AL175" s="3">
        <f>'IS (Bull-Case)'!AL175-'IS (Base-Case)'!AL175</f>
        <v>0</v>
      </c>
      <c r="AM175" s="1">
        <f>'IS (Bull-Case)'!AM175-'IS (Base-Case)'!AM175</f>
        <v>0</v>
      </c>
      <c r="AN175" s="1">
        <f>'IS (Bull-Case)'!AN175-'IS (Base-Case)'!AN175</f>
        <v>0</v>
      </c>
      <c r="AO175" s="3">
        <f>'IS (Bull-Case)'!AO175-'IS (Base-Case)'!AO175</f>
        <v>0</v>
      </c>
      <c r="AP175" s="3">
        <f>'IS (Bull-Case)'!AP175-'IS (Base-Case)'!AP175</f>
        <v>0</v>
      </c>
      <c r="AQ175" s="3">
        <f>'IS (Bull-Case)'!AQ175-'IS (Base-Case)'!AQ175</f>
        <v>0</v>
      </c>
      <c r="AR175" s="1">
        <f>'IS (Bull-Case)'!AR175-'IS (Base-Case)'!AR175</f>
        <v>0</v>
      </c>
      <c r="AS175" s="1">
        <f>'IS (Bull-Case)'!AS175-'IS (Base-Case)'!AS175</f>
        <v>0</v>
      </c>
      <c r="AT175" s="3">
        <f>'IS (Bull-Case)'!AT175-'IS (Base-Case)'!AT175</f>
        <v>0</v>
      </c>
      <c r="AU175" s="3">
        <f>'IS (Bull-Case)'!AU175-'IS (Base-Case)'!AU175</f>
        <v>0</v>
      </c>
      <c r="AV175" s="3">
        <f>'IS (Bull-Case)'!AV175-'IS (Base-Case)'!AV175</f>
        <v>0</v>
      </c>
    </row>
    <row r="176" spans="2:48" ht="14.55" customHeight="1" x14ac:dyDescent="0.3">
      <c r="B176" s="382" t="s">
        <v>316</v>
      </c>
      <c r="Q176" s="383">
        <f>'IS (Bull-Case)'!Q176-'IS (Base-Case)'!Q176</f>
        <v>0</v>
      </c>
      <c r="R176" s="383">
        <f>'IS (Bull-Case)'!R176-'IS (Base-Case)'!R176</f>
        <v>0</v>
      </c>
      <c r="S176" s="383">
        <f>'IS (Bull-Case)'!S176-'IS (Base-Case)'!S176</f>
        <v>0</v>
      </c>
      <c r="T176" s="383">
        <f>'IS (Bull-Case)'!T176-'IS (Base-Case)'!T176</f>
        <v>0</v>
      </c>
      <c r="U176" s="383">
        <f>'IS (Bull-Case)'!U176-'IS (Base-Case)'!U176</f>
        <v>0</v>
      </c>
      <c r="V176" s="383">
        <f>'IS (Bull-Case)'!V176-'IS (Base-Case)'!V176</f>
        <v>0</v>
      </c>
      <c r="W176" s="383">
        <f>'IS (Bull-Case)'!W176-'IS (Base-Case)'!W176</f>
        <v>0</v>
      </c>
      <c r="X176" s="383">
        <f>'IS (Bull-Case)'!X176-'IS (Base-Case)'!X176</f>
        <v>0</v>
      </c>
      <c r="Y176" s="383">
        <f>'IS (Bull-Case)'!Y176-'IS (Base-Case)'!Y176</f>
        <v>0</v>
      </c>
      <c r="Z176" s="383">
        <f>'IS (Bull-Case)'!Z176-'IS (Base-Case)'!Z176</f>
        <v>0</v>
      </c>
      <c r="AA176" s="383">
        <f>'IS (Bull-Case)'!AA176-'IS (Base-Case)'!AA176</f>
        <v>0</v>
      </c>
      <c r="AB176" s="383">
        <f>'IS (Bull-Case)'!AB176-'IS (Base-Case)'!AB176</f>
        <v>0</v>
      </c>
      <c r="AC176" s="383">
        <f>'IS (Bull-Case)'!AC176-'IS (Base-Case)'!AC176</f>
        <v>-1.0000000000000009E-3</v>
      </c>
      <c r="AD176" s="383">
        <f>'IS (Bull-Case)'!AD176-'IS (Base-Case)'!AD176</f>
        <v>-1.0000000000000009E-3</v>
      </c>
      <c r="AE176" s="383">
        <f>'IS (Bull-Case)'!AE176-'IS (Base-Case)'!AE176</f>
        <v>-1.0000000000000009E-3</v>
      </c>
      <c r="AF176" s="383">
        <f>'IS (Bull-Case)'!AF176-'IS (Base-Case)'!AF176</f>
        <v>-1.0000000000000009E-3</v>
      </c>
      <c r="AG176" s="3">
        <f>'IS (Bull-Case)'!AG176-'IS (Base-Case)'!AG176</f>
        <v>0</v>
      </c>
      <c r="AH176" s="383">
        <f>'IS (Bull-Case)'!AH176-'IS (Base-Case)'!AH176</f>
        <v>-1.0000000000000009E-3</v>
      </c>
      <c r="AI176" s="383">
        <f>'IS (Bull-Case)'!AI176-'IS (Base-Case)'!AI176</f>
        <v>-1.0000000000000009E-3</v>
      </c>
      <c r="AJ176" s="383">
        <f>'IS (Bull-Case)'!AJ176-'IS (Base-Case)'!AJ176</f>
        <v>-1.0000000000000009E-3</v>
      </c>
      <c r="AK176" s="383">
        <f>'IS (Bull-Case)'!AK176-'IS (Base-Case)'!AK176</f>
        <v>-1.0000000000000009E-3</v>
      </c>
      <c r="AL176" s="3">
        <f>'IS (Bull-Case)'!AL176-'IS (Base-Case)'!AL176</f>
        <v>0</v>
      </c>
      <c r="AM176" s="1">
        <f>'IS (Bull-Case)'!AM176-'IS (Base-Case)'!AM176</f>
        <v>0</v>
      </c>
      <c r="AN176" s="1">
        <f>'IS (Bull-Case)'!AN176-'IS (Base-Case)'!AN176</f>
        <v>0</v>
      </c>
      <c r="AO176" s="3">
        <f>'IS (Bull-Case)'!AO176-'IS (Base-Case)'!AO176</f>
        <v>0</v>
      </c>
      <c r="AP176" s="3">
        <f>'IS (Bull-Case)'!AP176-'IS (Base-Case)'!AP176</f>
        <v>0</v>
      </c>
      <c r="AQ176" s="3">
        <f>'IS (Bull-Case)'!AQ176-'IS (Base-Case)'!AQ176</f>
        <v>0</v>
      </c>
      <c r="AR176" s="1">
        <f>'IS (Bull-Case)'!AR176-'IS (Base-Case)'!AR176</f>
        <v>0</v>
      </c>
      <c r="AS176" s="1">
        <f>'IS (Bull-Case)'!AS176-'IS (Base-Case)'!AS176</f>
        <v>0</v>
      </c>
      <c r="AT176" s="3">
        <f>'IS (Bull-Case)'!AT176-'IS (Base-Case)'!AT176</f>
        <v>0</v>
      </c>
      <c r="AU176" s="3">
        <f>'IS (Bull-Case)'!AU176-'IS (Base-Case)'!AU176</f>
        <v>0</v>
      </c>
      <c r="AV176" s="3">
        <f>'IS (Bull-Case)'!AV176-'IS (Base-Case)'!AV176</f>
        <v>0</v>
      </c>
    </row>
    <row r="177" spans="1:48" ht="14.55" customHeight="1" x14ac:dyDescent="0.3">
      <c r="B177" s="382" t="s">
        <v>317</v>
      </c>
      <c r="Q177" s="383">
        <f>'IS (Bull-Case)'!Q177-'IS (Base-Case)'!Q177</f>
        <v>0</v>
      </c>
      <c r="R177" s="383">
        <f>'IS (Bull-Case)'!R177-'IS (Base-Case)'!R177</f>
        <v>0</v>
      </c>
      <c r="S177" s="383">
        <f>'IS (Bull-Case)'!S177-'IS (Base-Case)'!S177</f>
        <v>0</v>
      </c>
      <c r="T177" s="383">
        <f>'IS (Bull-Case)'!T177-'IS (Base-Case)'!T177</f>
        <v>0</v>
      </c>
      <c r="U177" s="383">
        <f>'IS (Bull-Case)'!U177-'IS (Base-Case)'!U177</f>
        <v>0</v>
      </c>
      <c r="V177" s="383">
        <f>'IS (Bull-Case)'!V177-'IS (Base-Case)'!V177</f>
        <v>0</v>
      </c>
      <c r="W177" s="383">
        <f>'IS (Bull-Case)'!W177-'IS (Base-Case)'!W177</f>
        <v>0</v>
      </c>
      <c r="X177" s="383">
        <f>'IS (Bull-Case)'!X177-'IS (Base-Case)'!X177</f>
        <v>0</v>
      </c>
      <c r="Y177" s="383">
        <f>'IS (Bull-Case)'!Y177-'IS (Base-Case)'!Y177</f>
        <v>0</v>
      </c>
      <c r="Z177" s="383">
        <f>'IS (Bull-Case)'!Z177-'IS (Base-Case)'!Z177</f>
        <v>0</v>
      </c>
      <c r="AA177" s="383">
        <f>'IS (Bull-Case)'!AA177-'IS (Base-Case)'!AA177</f>
        <v>0</v>
      </c>
      <c r="AB177" s="383">
        <f>'IS (Bull-Case)'!AB177-'IS (Base-Case)'!AB177</f>
        <v>0</v>
      </c>
      <c r="AC177" s="383">
        <f>'IS (Bull-Case)'!AC177-'IS (Base-Case)'!AC177</f>
        <v>0</v>
      </c>
      <c r="AD177" s="383">
        <f>'IS (Bull-Case)'!AD177-'IS (Base-Case)'!AD177</f>
        <v>0</v>
      </c>
      <c r="AE177" s="383">
        <f>'IS (Bull-Case)'!AE177-'IS (Base-Case)'!AE177</f>
        <v>0</v>
      </c>
      <c r="AF177" s="383">
        <f>'IS (Bull-Case)'!AF177-'IS (Base-Case)'!AF177</f>
        <v>0</v>
      </c>
      <c r="AG177" s="3">
        <f>'IS (Bull-Case)'!AG177-'IS (Base-Case)'!AG177</f>
        <v>0</v>
      </c>
      <c r="AH177" s="383">
        <f>'IS (Bull-Case)'!AH177-'IS (Base-Case)'!AH177</f>
        <v>0</v>
      </c>
      <c r="AI177" s="383">
        <f>'IS (Bull-Case)'!AI177-'IS (Base-Case)'!AI177</f>
        <v>0</v>
      </c>
      <c r="AJ177" s="383">
        <f>'IS (Bull-Case)'!AJ177-'IS (Base-Case)'!AJ177</f>
        <v>0</v>
      </c>
      <c r="AK177" s="383">
        <f>'IS (Bull-Case)'!AK177-'IS (Base-Case)'!AK177</f>
        <v>0</v>
      </c>
      <c r="AL177" s="3">
        <f>'IS (Bull-Case)'!AL177-'IS (Base-Case)'!AL177</f>
        <v>0</v>
      </c>
      <c r="AM177" s="1">
        <f>'IS (Bull-Case)'!AM177-'IS (Base-Case)'!AM177</f>
        <v>0</v>
      </c>
      <c r="AN177" s="1">
        <f>'IS (Bull-Case)'!AN177-'IS (Base-Case)'!AN177</f>
        <v>0</v>
      </c>
      <c r="AO177" s="3">
        <f>'IS (Bull-Case)'!AO177-'IS (Base-Case)'!AO177</f>
        <v>0</v>
      </c>
      <c r="AP177" s="3">
        <f>'IS (Bull-Case)'!AP177-'IS (Base-Case)'!AP177</f>
        <v>0</v>
      </c>
      <c r="AQ177" s="3">
        <f>'IS (Bull-Case)'!AQ177-'IS (Base-Case)'!AQ177</f>
        <v>0</v>
      </c>
      <c r="AR177" s="1">
        <f>'IS (Bull-Case)'!AR177-'IS (Base-Case)'!AR177</f>
        <v>0</v>
      </c>
      <c r="AS177" s="1">
        <f>'IS (Bull-Case)'!AS177-'IS (Base-Case)'!AS177</f>
        <v>0</v>
      </c>
      <c r="AT177" s="3">
        <f>'IS (Bull-Case)'!AT177-'IS (Base-Case)'!AT177</f>
        <v>0</v>
      </c>
      <c r="AU177" s="3">
        <f>'IS (Bull-Case)'!AU177-'IS (Base-Case)'!AU177</f>
        <v>0</v>
      </c>
      <c r="AV177" s="3">
        <f>'IS (Bull-Case)'!AV177-'IS (Base-Case)'!AV177</f>
        <v>0</v>
      </c>
    </row>
    <row r="178" spans="1:48" ht="14.55" customHeight="1" x14ac:dyDescent="0.3">
      <c r="A178" s="161"/>
      <c r="B178" s="382" t="s">
        <v>318</v>
      </c>
      <c r="Q178" s="383">
        <f>'IS (Bull-Case)'!Q178-'IS (Base-Case)'!Q178</f>
        <v>0</v>
      </c>
      <c r="R178" s="383">
        <f>'IS (Bull-Case)'!R178-'IS (Base-Case)'!R178</f>
        <v>0</v>
      </c>
      <c r="S178" s="383">
        <f>'IS (Bull-Case)'!S178-'IS (Base-Case)'!S178</f>
        <v>0</v>
      </c>
      <c r="T178" s="383">
        <f>'IS (Bull-Case)'!T178-'IS (Base-Case)'!T178</f>
        <v>0</v>
      </c>
      <c r="U178" s="383">
        <f>'IS (Bull-Case)'!U178-'IS (Base-Case)'!U178</f>
        <v>0</v>
      </c>
      <c r="V178" s="383">
        <f>'IS (Bull-Case)'!V178-'IS (Base-Case)'!V178</f>
        <v>0</v>
      </c>
      <c r="W178" s="383">
        <f>'IS (Bull-Case)'!W178-'IS (Base-Case)'!W178</f>
        <v>0</v>
      </c>
      <c r="X178" s="383">
        <f>'IS (Bull-Case)'!X178-'IS (Base-Case)'!X178</f>
        <v>0</v>
      </c>
      <c r="Y178" s="383">
        <f>'IS (Bull-Case)'!Y178-'IS (Base-Case)'!Y178</f>
        <v>0</v>
      </c>
      <c r="Z178" s="383">
        <f>'IS (Bull-Case)'!Z178-'IS (Base-Case)'!Z178</f>
        <v>0</v>
      </c>
      <c r="AA178" s="383">
        <f>'IS (Bull-Case)'!AA178-'IS (Base-Case)'!AA178</f>
        <v>0</v>
      </c>
      <c r="AB178" s="383">
        <f>'IS (Bull-Case)'!AB178-'IS (Base-Case)'!AB178</f>
        <v>0</v>
      </c>
      <c r="AC178" s="383">
        <f>'IS (Bull-Case)'!AC178-'IS (Base-Case)'!AC178</f>
        <v>0</v>
      </c>
      <c r="AD178" s="383">
        <f>'IS (Bull-Case)'!AD178-'IS (Base-Case)'!AD178</f>
        <v>0</v>
      </c>
      <c r="AE178" s="383">
        <f>'IS (Bull-Case)'!AE178-'IS (Base-Case)'!AE178</f>
        <v>0</v>
      </c>
      <c r="AF178" s="383">
        <f>'IS (Bull-Case)'!AF178-'IS (Base-Case)'!AF178</f>
        <v>0</v>
      </c>
      <c r="AG178" s="3">
        <f>'IS (Bull-Case)'!AG178-'IS (Base-Case)'!AG178</f>
        <v>0</v>
      </c>
      <c r="AH178" s="383">
        <f>'IS (Bull-Case)'!AH178-'IS (Base-Case)'!AH178</f>
        <v>0</v>
      </c>
      <c r="AI178" s="383">
        <f>'IS (Bull-Case)'!AI178-'IS (Base-Case)'!AI178</f>
        <v>0</v>
      </c>
      <c r="AJ178" s="383">
        <f>'IS (Bull-Case)'!AJ178-'IS (Base-Case)'!AJ178</f>
        <v>0</v>
      </c>
      <c r="AK178" s="383">
        <f>'IS (Bull-Case)'!AK178-'IS (Base-Case)'!AK178</f>
        <v>0</v>
      </c>
      <c r="AL178" s="3">
        <f>'IS (Bull-Case)'!AL178-'IS (Base-Case)'!AL178</f>
        <v>0</v>
      </c>
      <c r="AM178" s="1">
        <f>'IS (Bull-Case)'!AM178-'IS (Base-Case)'!AM178</f>
        <v>0</v>
      </c>
      <c r="AN178" s="1">
        <f>'IS (Bull-Case)'!AN178-'IS (Base-Case)'!AN178</f>
        <v>0</v>
      </c>
      <c r="AO178" s="3">
        <f>'IS (Bull-Case)'!AO178-'IS (Base-Case)'!AO178</f>
        <v>0</v>
      </c>
      <c r="AP178" s="3">
        <f>'IS (Bull-Case)'!AP178-'IS (Base-Case)'!AP178</f>
        <v>0</v>
      </c>
      <c r="AQ178" s="3">
        <f>'IS (Bull-Case)'!AQ178-'IS (Base-Case)'!AQ178</f>
        <v>0</v>
      </c>
      <c r="AR178" s="1">
        <f>'IS (Bull-Case)'!AR178-'IS (Base-Case)'!AR178</f>
        <v>0</v>
      </c>
      <c r="AS178" s="1">
        <f>'IS (Bull-Case)'!AS178-'IS (Base-Case)'!AS178</f>
        <v>0</v>
      </c>
      <c r="AT178" s="3">
        <f>'IS (Bull-Case)'!AT178-'IS (Base-Case)'!AT178</f>
        <v>0</v>
      </c>
      <c r="AU178" s="3">
        <f>'IS (Bull-Case)'!AU178-'IS (Base-Case)'!AU178</f>
        <v>0</v>
      </c>
      <c r="AV178" s="3">
        <f>'IS (Bull-Case)'!AV178-'IS (Base-Case)'!AV178</f>
        <v>0</v>
      </c>
    </row>
    <row r="179" spans="1:48" s="23" customFormat="1" ht="14.55" customHeight="1" x14ac:dyDescent="0.3">
      <c r="A179" s="161"/>
      <c r="Q179" s="23">
        <f>'IS (Bull-Case)'!Q179-'IS (Base-Case)'!Q179</f>
        <v>0</v>
      </c>
      <c r="R179" s="23">
        <f>'IS (Bull-Case)'!R179-'IS (Base-Case)'!R179</f>
        <v>0</v>
      </c>
      <c r="S179" s="23">
        <f>'IS (Bull-Case)'!S179-'IS (Base-Case)'!S179</f>
        <v>0</v>
      </c>
      <c r="T179" s="23">
        <f>'IS (Bull-Case)'!T179-'IS (Base-Case)'!T179</f>
        <v>0</v>
      </c>
      <c r="U179" s="23">
        <f>'IS (Bull-Case)'!U179-'IS (Base-Case)'!U179</f>
        <v>0</v>
      </c>
      <c r="V179" s="23">
        <f>'IS (Bull-Case)'!V179-'IS (Base-Case)'!V179</f>
        <v>0</v>
      </c>
      <c r="W179" s="23">
        <f>'IS (Bull-Case)'!W179-'IS (Base-Case)'!W179</f>
        <v>0</v>
      </c>
      <c r="X179" s="23">
        <f>'IS (Bull-Case)'!X179-'IS (Base-Case)'!X179</f>
        <v>0</v>
      </c>
      <c r="Y179" s="23">
        <f>'IS (Bull-Case)'!Y179-'IS (Base-Case)'!Y179</f>
        <v>0</v>
      </c>
      <c r="Z179" s="23">
        <f>'IS (Bull-Case)'!Z179-'IS (Base-Case)'!Z179</f>
        <v>0</v>
      </c>
      <c r="AA179" s="23">
        <f>'IS (Bull-Case)'!AA179-'IS (Base-Case)'!AA179</f>
        <v>0</v>
      </c>
      <c r="AB179" s="23">
        <f>'IS (Bull-Case)'!AB179-'IS (Base-Case)'!AB179</f>
        <v>0</v>
      </c>
      <c r="AC179" s="23">
        <f>'IS (Bull-Case)'!AC179-'IS (Base-Case)'!AC179</f>
        <v>0</v>
      </c>
      <c r="AD179" s="23">
        <f>'IS (Bull-Case)'!AD179-'IS (Base-Case)'!AD179</f>
        <v>0</v>
      </c>
      <c r="AE179" s="23">
        <f>'IS (Bull-Case)'!AE179-'IS (Base-Case)'!AE179</f>
        <v>0</v>
      </c>
      <c r="AF179" s="23">
        <f>'IS (Bull-Case)'!AF179-'IS (Base-Case)'!AF179</f>
        <v>0</v>
      </c>
      <c r="AG179" s="23">
        <f>'IS (Bull-Case)'!AG179-'IS (Base-Case)'!AG179</f>
        <v>0</v>
      </c>
      <c r="AH179" s="23">
        <f>'IS (Bull-Case)'!AH179-'IS (Base-Case)'!AH179</f>
        <v>0</v>
      </c>
      <c r="AI179" s="23">
        <f>'IS (Bull-Case)'!AI179-'IS (Base-Case)'!AI179</f>
        <v>0</v>
      </c>
      <c r="AJ179" s="23">
        <f>'IS (Bull-Case)'!AJ179-'IS (Base-Case)'!AJ179</f>
        <v>0</v>
      </c>
      <c r="AK179" s="23">
        <f>'IS (Bull-Case)'!AK179-'IS (Base-Case)'!AK179</f>
        <v>0</v>
      </c>
      <c r="AL179" s="23">
        <f>'IS (Bull-Case)'!AL179-'IS (Base-Case)'!AL179</f>
        <v>0</v>
      </c>
      <c r="AM179" s="23">
        <f>'IS (Bull-Case)'!AM179-'IS (Base-Case)'!AM179</f>
        <v>0</v>
      </c>
      <c r="AN179" s="23">
        <f>'IS (Bull-Case)'!AN179-'IS (Base-Case)'!AN179</f>
        <v>0</v>
      </c>
      <c r="AO179" s="23">
        <f>'IS (Bull-Case)'!AO179-'IS (Base-Case)'!AO179</f>
        <v>0</v>
      </c>
      <c r="AP179" s="23">
        <f>'IS (Bull-Case)'!AP179-'IS (Base-Case)'!AP179</f>
        <v>0</v>
      </c>
      <c r="AQ179" s="23">
        <f>'IS (Bull-Case)'!AQ179-'IS (Base-Case)'!AQ179</f>
        <v>0</v>
      </c>
      <c r="AR179" s="23">
        <f>'IS (Bull-Case)'!AR179-'IS (Base-Case)'!AR179</f>
        <v>0</v>
      </c>
      <c r="AS179" s="23">
        <f>'IS (Bull-Case)'!AS179-'IS (Base-Case)'!AS179</f>
        <v>0</v>
      </c>
      <c r="AT179" s="23">
        <f>'IS (Bull-Case)'!AT179-'IS (Base-Case)'!AT179</f>
        <v>0</v>
      </c>
      <c r="AU179" s="23">
        <f>'IS (Bull-Case)'!AU179-'IS (Base-Case)'!AU179</f>
        <v>0</v>
      </c>
      <c r="AV179" s="23">
        <f>'IS (Bull-Case)'!AV179-'IS (Base-Case)'!AV179</f>
        <v>0</v>
      </c>
    </row>
    <row r="180" spans="1:48" s="23" customFormat="1" ht="14.55" customHeight="1" x14ac:dyDescent="0.3">
      <c r="A180" s="161"/>
      <c r="B180" s="382" t="s">
        <v>319</v>
      </c>
      <c r="Q180" s="384">
        <f>'IS (Bull-Case)'!Q180-'IS (Base-Case)'!Q180</f>
        <v>0</v>
      </c>
      <c r="R180" s="384">
        <f>'IS (Bull-Case)'!R180-'IS (Base-Case)'!R180</f>
        <v>0</v>
      </c>
      <c r="S180" s="384">
        <f>'IS (Bull-Case)'!S180-'IS (Base-Case)'!S180</f>
        <v>0</v>
      </c>
      <c r="T180" s="384">
        <f>'IS (Bull-Case)'!T180-'IS (Base-Case)'!T180</f>
        <v>0</v>
      </c>
      <c r="U180" s="384">
        <f>'IS (Bull-Case)'!U180-'IS (Base-Case)'!U180</f>
        <v>0</v>
      </c>
      <c r="V180" s="384">
        <f>'IS (Bull-Case)'!V180-'IS (Base-Case)'!V180</f>
        <v>0</v>
      </c>
      <c r="W180" s="384">
        <f>'IS (Bull-Case)'!W180-'IS (Base-Case)'!W180</f>
        <v>0</v>
      </c>
      <c r="X180" s="384">
        <f>'IS (Bull-Case)'!X180-'IS (Base-Case)'!X180</f>
        <v>0</v>
      </c>
      <c r="Y180" s="384">
        <f>'IS (Bull-Case)'!Y180-'IS (Base-Case)'!Y180</f>
        <v>0</v>
      </c>
      <c r="Z180" s="384">
        <f>'IS (Bull-Case)'!Z180-'IS (Base-Case)'!Z180</f>
        <v>0</v>
      </c>
      <c r="AA180" s="384">
        <f>'IS (Bull-Case)'!AA180-'IS (Base-Case)'!AA180</f>
        <v>0</v>
      </c>
      <c r="AB180" s="384">
        <f>'IS (Bull-Case)'!AB180-'IS (Base-Case)'!AB180</f>
        <v>0</v>
      </c>
      <c r="AC180" s="384">
        <f>'IS (Bull-Case)'!AC180-'IS (Base-Case)'!AC180</f>
        <v>0</v>
      </c>
      <c r="AD180" s="384">
        <f>'IS (Bull-Case)'!AD180-'IS (Base-Case)'!AD180</f>
        <v>0</v>
      </c>
      <c r="AE180" s="384">
        <f>'IS (Bull-Case)'!AE180-'IS (Base-Case)'!AE180</f>
        <v>0</v>
      </c>
      <c r="AF180" s="384">
        <f>'IS (Bull-Case)'!AF180-'IS (Base-Case)'!AF180</f>
        <v>0</v>
      </c>
      <c r="AG180" s="384">
        <f>'IS (Bull-Case)'!AG180-'IS (Base-Case)'!AG180</f>
        <v>0</v>
      </c>
      <c r="AH180" s="384">
        <f>'IS (Bull-Case)'!AH180-'IS (Base-Case)'!AH180</f>
        <v>0</v>
      </c>
      <c r="AI180" s="384">
        <f>'IS (Bull-Case)'!AI180-'IS (Base-Case)'!AI180</f>
        <v>0</v>
      </c>
      <c r="AJ180" s="384">
        <f>'IS (Bull-Case)'!AJ180-'IS (Base-Case)'!AJ180</f>
        <v>0</v>
      </c>
      <c r="AK180" s="384">
        <f>'IS (Bull-Case)'!AK180-'IS (Base-Case)'!AK180</f>
        <v>0</v>
      </c>
      <c r="AL180" s="384">
        <f>'IS (Bull-Case)'!AL180-'IS (Base-Case)'!AL180</f>
        <v>0</v>
      </c>
      <c r="AM180" s="384">
        <f>'IS (Bull-Case)'!AM180-'IS (Base-Case)'!AM180</f>
        <v>0</v>
      </c>
      <c r="AN180" s="384">
        <f>'IS (Bull-Case)'!AN180-'IS (Base-Case)'!AN180</f>
        <v>0</v>
      </c>
      <c r="AO180" s="384">
        <f>'IS (Bull-Case)'!AO180-'IS (Base-Case)'!AO180</f>
        <v>0</v>
      </c>
      <c r="AP180" s="384">
        <f>'IS (Bull-Case)'!AP180-'IS (Base-Case)'!AP180</f>
        <v>0</v>
      </c>
      <c r="AQ180" s="384">
        <f>'IS (Bull-Case)'!AQ180-'IS (Base-Case)'!AQ180</f>
        <v>0</v>
      </c>
      <c r="AR180" s="384">
        <f>'IS (Bull-Case)'!AR180-'IS (Base-Case)'!AR180</f>
        <v>0</v>
      </c>
      <c r="AS180" s="384">
        <f>'IS (Bull-Case)'!AS180-'IS (Base-Case)'!AS180</f>
        <v>0</v>
      </c>
      <c r="AT180" s="384">
        <f>'IS (Bull-Case)'!AT180-'IS (Base-Case)'!AT180</f>
        <v>0</v>
      </c>
      <c r="AU180" s="384">
        <f>'IS (Bull-Case)'!AU180-'IS (Base-Case)'!AU180</f>
        <v>0</v>
      </c>
      <c r="AV180" s="23">
        <f>'IS (Bull-Case)'!AV180-'IS (Base-Case)'!AV180</f>
        <v>0</v>
      </c>
    </row>
    <row r="181" spans="1:48" ht="16.2" customHeight="1" x14ac:dyDescent="0.3">
      <c r="A181" s="161"/>
      <c r="B181" s="382" t="s">
        <v>320</v>
      </c>
      <c r="Q181" s="384">
        <f>'IS (Bull-Case)'!Q181-'IS (Base-Case)'!Q181</f>
        <v>0</v>
      </c>
      <c r="R181" s="384">
        <f>'IS (Bull-Case)'!R181-'IS (Base-Case)'!R181</f>
        <v>0</v>
      </c>
      <c r="S181" s="384">
        <f>'IS (Bull-Case)'!S181-'IS (Base-Case)'!S181</f>
        <v>0</v>
      </c>
      <c r="T181" s="384">
        <f>'IS (Bull-Case)'!T181-'IS (Base-Case)'!T181</f>
        <v>0</v>
      </c>
      <c r="U181" s="384">
        <f>'IS (Bull-Case)'!U181-'IS (Base-Case)'!U181</f>
        <v>0</v>
      </c>
      <c r="V181" s="384">
        <f>'IS (Bull-Case)'!V181-'IS (Base-Case)'!V181</f>
        <v>0</v>
      </c>
      <c r="W181" s="384">
        <f>'IS (Bull-Case)'!W181-'IS (Base-Case)'!W181</f>
        <v>0</v>
      </c>
      <c r="X181" s="384">
        <f>'IS (Bull-Case)'!X181-'IS (Base-Case)'!X181</f>
        <v>0</v>
      </c>
      <c r="Y181" s="384">
        <f>'IS (Bull-Case)'!Y181-'IS (Base-Case)'!Y181</f>
        <v>0</v>
      </c>
      <c r="Z181" s="384">
        <f>'IS (Bull-Case)'!Z181-'IS (Base-Case)'!Z181</f>
        <v>0</v>
      </c>
      <c r="AA181" s="384">
        <f>'IS (Bull-Case)'!AA181-'IS (Base-Case)'!AA181</f>
        <v>0</v>
      </c>
      <c r="AB181" s="384">
        <f>'IS (Bull-Case)'!AB181-'IS (Base-Case)'!AB181</f>
        <v>0</v>
      </c>
      <c r="AC181" s="384">
        <f>'IS (Bull-Case)'!AC181-'IS (Base-Case)'!AC181</f>
        <v>0</v>
      </c>
      <c r="AD181" s="384">
        <f>'IS (Bull-Case)'!AD181-'IS (Base-Case)'!AD181</f>
        <v>0</v>
      </c>
      <c r="AE181" s="384">
        <f>'IS (Bull-Case)'!AE181-'IS (Base-Case)'!AE181</f>
        <v>0</v>
      </c>
      <c r="AF181" s="384">
        <f>'IS (Bull-Case)'!AF181-'IS (Base-Case)'!AF181</f>
        <v>0</v>
      </c>
      <c r="AG181" s="384">
        <f>'IS (Bull-Case)'!AG181-'IS (Base-Case)'!AG181</f>
        <v>0</v>
      </c>
      <c r="AH181" s="384">
        <f>'IS (Bull-Case)'!AH181-'IS (Base-Case)'!AH181</f>
        <v>0</v>
      </c>
      <c r="AI181" s="384">
        <f>'IS (Bull-Case)'!AI181-'IS (Base-Case)'!AI181</f>
        <v>0</v>
      </c>
      <c r="AJ181" s="384">
        <f>'IS (Bull-Case)'!AJ181-'IS (Base-Case)'!AJ181</f>
        <v>0</v>
      </c>
      <c r="AK181" s="384">
        <f>'IS (Bull-Case)'!AK181-'IS (Base-Case)'!AK181</f>
        <v>0</v>
      </c>
      <c r="AL181" s="384">
        <f>'IS (Bull-Case)'!AL181-'IS (Base-Case)'!AL181</f>
        <v>0</v>
      </c>
      <c r="AM181" s="384">
        <f>'IS (Bull-Case)'!AM181-'IS (Base-Case)'!AM181</f>
        <v>0</v>
      </c>
      <c r="AN181" s="384">
        <f>'IS (Bull-Case)'!AN181-'IS (Base-Case)'!AN181</f>
        <v>0</v>
      </c>
      <c r="AO181" s="384">
        <f>'IS (Bull-Case)'!AO181-'IS (Base-Case)'!AO181</f>
        <v>0</v>
      </c>
      <c r="AP181" s="384">
        <f>'IS (Bull-Case)'!AP181-'IS (Base-Case)'!AP181</f>
        <v>0</v>
      </c>
      <c r="AQ181" s="384">
        <f>'IS (Bull-Case)'!AQ181-'IS (Base-Case)'!AQ181</f>
        <v>0</v>
      </c>
      <c r="AR181" s="384">
        <f>'IS (Bull-Case)'!AR181-'IS (Base-Case)'!AR181</f>
        <v>0</v>
      </c>
      <c r="AS181" s="384">
        <f>'IS (Bull-Case)'!AS181-'IS (Base-Case)'!AS181</f>
        <v>0</v>
      </c>
      <c r="AT181" s="384">
        <f>'IS (Bull-Case)'!AT181-'IS (Base-Case)'!AT181</f>
        <v>0</v>
      </c>
      <c r="AU181" s="384">
        <f>'IS (Bull-Case)'!AU181-'IS (Base-Case)'!AU181</f>
        <v>0</v>
      </c>
      <c r="AV181" s="3">
        <f>'IS (Bull-Case)'!AV181-'IS (Base-Case)'!AV181</f>
        <v>0</v>
      </c>
    </row>
    <row r="182" spans="1:48" ht="14.55" customHeight="1" x14ac:dyDescent="0.3">
      <c r="A182" s="161"/>
      <c r="B182" s="382" t="s">
        <v>321</v>
      </c>
      <c r="Q182" s="384">
        <f>'IS (Bull-Case)'!Q182-'IS (Base-Case)'!Q182</f>
        <v>0</v>
      </c>
      <c r="R182" s="384">
        <f>'IS (Bull-Case)'!R182-'IS (Base-Case)'!R182</f>
        <v>0</v>
      </c>
      <c r="S182" s="384">
        <f>'IS (Bull-Case)'!S182-'IS (Base-Case)'!S182</f>
        <v>0</v>
      </c>
      <c r="T182" s="384">
        <f>'IS (Bull-Case)'!T182-'IS (Base-Case)'!T182</f>
        <v>0</v>
      </c>
      <c r="U182" s="384">
        <f>'IS (Bull-Case)'!U182-'IS (Base-Case)'!U182</f>
        <v>0</v>
      </c>
      <c r="V182" s="384">
        <f>'IS (Bull-Case)'!V182-'IS (Base-Case)'!V182</f>
        <v>0</v>
      </c>
      <c r="W182" s="384">
        <f>'IS (Bull-Case)'!W182-'IS (Base-Case)'!W182</f>
        <v>0</v>
      </c>
      <c r="X182" s="384">
        <f>'IS (Bull-Case)'!X182-'IS (Base-Case)'!X182</f>
        <v>0</v>
      </c>
      <c r="Y182" s="384">
        <f>'IS (Bull-Case)'!Y182-'IS (Base-Case)'!Y182</f>
        <v>0</v>
      </c>
      <c r="Z182" s="384">
        <f>'IS (Bull-Case)'!Z182-'IS (Base-Case)'!Z182</f>
        <v>0</v>
      </c>
      <c r="AA182" s="384">
        <f>'IS (Bull-Case)'!AA182-'IS (Base-Case)'!AA182</f>
        <v>0</v>
      </c>
      <c r="AB182" s="384">
        <f>'IS (Bull-Case)'!AB182-'IS (Base-Case)'!AB182</f>
        <v>0</v>
      </c>
      <c r="AC182" s="384">
        <f>'IS (Bull-Case)'!AC182-'IS (Base-Case)'!AC182</f>
        <v>0</v>
      </c>
      <c r="AD182" s="384">
        <f>'IS (Bull-Case)'!AD182-'IS (Base-Case)'!AD182</f>
        <v>0</v>
      </c>
      <c r="AE182" s="384">
        <f>'IS (Bull-Case)'!AE182-'IS (Base-Case)'!AE182</f>
        <v>0</v>
      </c>
      <c r="AF182" s="384">
        <f>'IS (Bull-Case)'!AF182-'IS (Base-Case)'!AF182</f>
        <v>0</v>
      </c>
      <c r="AG182" s="384">
        <f>'IS (Bull-Case)'!AG182-'IS (Base-Case)'!AG182</f>
        <v>0</v>
      </c>
      <c r="AH182" s="384">
        <f>'IS (Bull-Case)'!AH182-'IS (Base-Case)'!AH182</f>
        <v>0</v>
      </c>
      <c r="AI182" s="384">
        <f>'IS (Bull-Case)'!AI182-'IS (Base-Case)'!AI182</f>
        <v>0</v>
      </c>
      <c r="AJ182" s="384">
        <f>'IS (Bull-Case)'!AJ182-'IS (Base-Case)'!AJ182</f>
        <v>0</v>
      </c>
      <c r="AK182" s="384">
        <f>'IS (Bull-Case)'!AK182-'IS (Base-Case)'!AK182</f>
        <v>0</v>
      </c>
      <c r="AL182" s="384">
        <f>'IS (Bull-Case)'!AL182-'IS (Base-Case)'!AL182</f>
        <v>0</v>
      </c>
      <c r="AM182" s="384">
        <f>'IS (Bull-Case)'!AM182-'IS (Base-Case)'!AM182</f>
        <v>0</v>
      </c>
      <c r="AN182" s="384">
        <f>'IS (Bull-Case)'!AN182-'IS (Base-Case)'!AN182</f>
        <v>0</v>
      </c>
      <c r="AO182" s="384">
        <f>'IS (Bull-Case)'!AO182-'IS (Base-Case)'!AO182</f>
        <v>0</v>
      </c>
      <c r="AP182" s="384">
        <f>'IS (Bull-Case)'!AP182-'IS (Base-Case)'!AP182</f>
        <v>0</v>
      </c>
      <c r="AQ182" s="384">
        <f>'IS (Bull-Case)'!AQ182-'IS (Base-Case)'!AQ182</f>
        <v>0</v>
      </c>
      <c r="AR182" s="384">
        <f>'IS (Bull-Case)'!AR182-'IS (Base-Case)'!AR182</f>
        <v>0</v>
      </c>
      <c r="AS182" s="384">
        <f>'IS (Bull-Case)'!AS182-'IS (Base-Case)'!AS182</f>
        <v>0</v>
      </c>
      <c r="AT182" s="384">
        <f>'IS (Bull-Case)'!AT182-'IS (Base-Case)'!AT182</f>
        <v>0</v>
      </c>
      <c r="AU182" s="384">
        <f>'IS (Bull-Case)'!AU182-'IS (Base-Case)'!AU182</f>
        <v>0</v>
      </c>
      <c r="AV182" s="3">
        <f>'IS (Bull-Case)'!AV182-'IS (Base-Case)'!AV182</f>
        <v>0</v>
      </c>
    </row>
    <row r="183" spans="1:48" ht="14.55" customHeight="1" x14ac:dyDescent="0.3">
      <c r="A183" s="161"/>
      <c r="B183" s="382" t="s">
        <v>322</v>
      </c>
      <c r="Q183" s="384">
        <f>'IS (Bull-Case)'!Q183-'IS (Base-Case)'!Q183</f>
        <v>0</v>
      </c>
      <c r="R183" s="384">
        <f>'IS (Bull-Case)'!R183-'IS (Base-Case)'!R183</f>
        <v>0</v>
      </c>
      <c r="S183" s="384">
        <f>'IS (Bull-Case)'!S183-'IS (Base-Case)'!S183</f>
        <v>0</v>
      </c>
      <c r="T183" s="384">
        <f>'IS (Bull-Case)'!T183-'IS (Base-Case)'!T183</f>
        <v>0</v>
      </c>
      <c r="U183" s="384">
        <f>'IS (Bull-Case)'!U183-'IS (Base-Case)'!U183</f>
        <v>0</v>
      </c>
      <c r="V183" s="384">
        <f>'IS (Bull-Case)'!V183-'IS (Base-Case)'!V183</f>
        <v>0</v>
      </c>
      <c r="W183" s="384">
        <f>'IS (Bull-Case)'!W183-'IS (Base-Case)'!W183</f>
        <v>0</v>
      </c>
      <c r="X183" s="384">
        <f>'IS (Bull-Case)'!X183-'IS (Base-Case)'!X183</f>
        <v>0</v>
      </c>
      <c r="Y183" s="384">
        <f>'IS (Bull-Case)'!Y183-'IS (Base-Case)'!Y183</f>
        <v>0</v>
      </c>
      <c r="Z183" s="384">
        <f>'IS (Bull-Case)'!Z183-'IS (Base-Case)'!Z183</f>
        <v>0</v>
      </c>
      <c r="AA183" s="384">
        <f>'IS (Bull-Case)'!AA183-'IS (Base-Case)'!AA183</f>
        <v>0</v>
      </c>
      <c r="AB183" s="384">
        <f>'IS (Bull-Case)'!AB183-'IS (Base-Case)'!AB183</f>
        <v>0</v>
      </c>
      <c r="AC183" s="384">
        <f>'IS (Bull-Case)'!AC183-'IS (Base-Case)'!AC183</f>
        <v>0</v>
      </c>
      <c r="AD183" s="384">
        <f>'IS (Bull-Case)'!AD183-'IS (Base-Case)'!AD183</f>
        <v>0</v>
      </c>
      <c r="AE183" s="384">
        <f>'IS (Bull-Case)'!AE183-'IS (Base-Case)'!AE183</f>
        <v>0</v>
      </c>
      <c r="AF183" s="384">
        <f>'IS (Bull-Case)'!AF183-'IS (Base-Case)'!AF183</f>
        <v>0</v>
      </c>
      <c r="AG183" s="384">
        <f>'IS (Bull-Case)'!AG183-'IS (Base-Case)'!AG183</f>
        <v>0</v>
      </c>
      <c r="AH183" s="384">
        <f>'IS (Bull-Case)'!AH183-'IS (Base-Case)'!AH183</f>
        <v>0</v>
      </c>
      <c r="AI183" s="384">
        <f>'IS (Bull-Case)'!AI183-'IS (Base-Case)'!AI183</f>
        <v>0</v>
      </c>
      <c r="AJ183" s="384">
        <f>'IS (Bull-Case)'!AJ183-'IS (Base-Case)'!AJ183</f>
        <v>0</v>
      </c>
      <c r="AK183" s="384">
        <f>'IS (Bull-Case)'!AK183-'IS (Base-Case)'!AK183</f>
        <v>0</v>
      </c>
      <c r="AL183" s="384">
        <f>'IS (Bull-Case)'!AL183-'IS (Base-Case)'!AL183</f>
        <v>0</v>
      </c>
      <c r="AM183" s="384">
        <f>'IS (Bull-Case)'!AM183-'IS (Base-Case)'!AM183</f>
        <v>0</v>
      </c>
      <c r="AN183" s="384">
        <f>'IS (Bull-Case)'!AN183-'IS (Base-Case)'!AN183</f>
        <v>0</v>
      </c>
      <c r="AO183" s="384">
        <f>'IS (Bull-Case)'!AO183-'IS (Base-Case)'!AO183</f>
        <v>0</v>
      </c>
      <c r="AP183" s="384">
        <f>'IS (Bull-Case)'!AP183-'IS (Base-Case)'!AP183</f>
        <v>0</v>
      </c>
      <c r="AQ183" s="384">
        <f>'IS (Bull-Case)'!AQ183-'IS (Base-Case)'!AQ183</f>
        <v>0</v>
      </c>
      <c r="AR183" s="384">
        <f>'IS (Bull-Case)'!AR183-'IS (Base-Case)'!AR183</f>
        <v>0</v>
      </c>
      <c r="AS183" s="384">
        <f>'IS (Bull-Case)'!AS183-'IS (Base-Case)'!AS183</f>
        <v>0</v>
      </c>
      <c r="AT183" s="384">
        <f>'IS (Bull-Case)'!AT183-'IS (Base-Case)'!AT183</f>
        <v>0</v>
      </c>
      <c r="AU183" s="384">
        <f>'IS (Bull-Case)'!AU183-'IS (Base-Case)'!AU183</f>
        <v>0</v>
      </c>
      <c r="AV183" s="3">
        <f>'IS (Bull-Case)'!AV183-'IS (Base-Case)'!AV183</f>
        <v>0</v>
      </c>
    </row>
    <row r="184" spans="1:48" ht="14.55" customHeight="1" x14ac:dyDescent="0.3">
      <c r="A184" s="161"/>
      <c r="Q184" s="3">
        <f>'IS (Bull-Case)'!Q184-'IS (Base-Case)'!Q184</f>
        <v>0</v>
      </c>
      <c r="R184" s="3">
        <f>'IS (Bull-Case)'!R184-'IS (Base-Case)'!R184</f>
        <v>0</v>
      </c>
      <c r="S184" s="1">
        <f>'IS (Bull-Case)'!S184-'IS (Base-Case)'!S184</f>
        <v>0</v>
      </c>
      <c r="T184" s="1">
        <f>'IS (Bull-Case)'!T184-'IS (Base-Case)'!T184</f>
        <v>0</v>
      </c>
      <c r="U184" s="3">
        <f>'IS (Bull-Case)'!U184-'IS (Base-Case)'!U184</f>
        <v>0</v>
      </c>
      <c r="V184" s="3">
        <f>'IS (Bull-Case)'!V184-'IS (Base-Case)'!V184</f>
        <v>0</v>
      </c>
      <c r="W184" s="3">
        <f>'IS (Bull-Case)'!W184-'IS (Base-Case)'!W184</f>
        <v>0</v>
      </c>
      <c r="X184" s="1">
        <f>'IS (Bull-Case)'!X184-'IS (Base-Case)'!X184</f>
        <v>0</v>
      </c>
      <c r="Y184" s="1">
        <f>'IS (Bull-Case)'!Y184-'IS (Base-Case)'!Y184</f>
        <v>0</v>
      </c>
      <c r="Z184" s="3">
        <f>'IS (Bull-Case)'!Z184-'IS (Base-Case)'!Z184</f>
        <v>0</v>
      </c>
      <c r="AA184" s="3">
        <f>'IS (Bull-Case)'!AA184-'IS (Base-Case)'!AA184</f>
        <v>0</v>
      </c>
      <c r="AB184" s="3">
        <f>'IS (Bull-Case)'!AB184-'IS (Base-Case)'!AB184</f>
        <v>0</v>
      </c>
      <c r="AC184" s="1">
        <f>'IS (Bull-Case)'!AC184-'IS (Base-Case)'!AC184</f>
        <v>0</v>
      </c>
      <c r="AD184" s="1">
        <f>'IS (Bull-Case)'!AD184-'IS (Base-Case)'!AD184</f>
        <v>0</v>
      </c>
      <c r="AE184" s="3">
        <f>'IS (Bull-Case)'!AE184-'IS (Base-Case)'!AE184</f>
        <v>0</v>
      </c>
      <c r="AF184" s="3">
        <f>'IS (Bull-Case)'!AF184-'IS (Base-Case)'!AF184</f>
        <v>0</v>
      </c>
      <c r="AG184" s="3">
        <f>'IS (Bull-Case)'!AG184-'IS (Base-Case)'!AG184</f>
        <v>0</v>
      </c>
      <c r="AH184" s="1">
        <f>'IS (Bull-Case)'!AH184-'IS (Base-Case)'!AH184</f>
        <v>0</v>
      </c>
      <c r="AI184" s="1">
        <f>'IS (Bull-Case)'!AI184-'IS (Base-Case)'!AI184</f>
        <v>0</v>
      </c>
      <c r="AJ184" s="3">
        <f>'IS (Bull-Case)'!AJ184-'IS (Base-Case)'!AJ184</f>
        <v>0</v>
      </c>
      <c r="AK184" s="3">
        <f>'IS (Bull-Case)'!AK184-'IS (Base-Case)'!AK184</f>
        <v>0</v>
      </c>
      <c r="AL184" s="3">
        <f>'IS (Bull-Case)'!AL184-'IS (Base-Case)'!AL184</f>
        <v>0</v>
      </c>
      <c r="AM184" s="1">
        <f>'IS (Bull-Case)'!AM184-'IS (Base-Case)'!AM184</f>
        <v>0</v>
      </c>
      <c r="AN184" s="1">
        <f>'IS (Bull-Case)'!AN184-'IS (Base-Case)'!AN184</f>
        <v>0</v>
      </c>
      <c r="AO184" s="3">
        <f>'IS (Bull-Case)'!AO184-'IS (Base-Case)'!AO184</f>
        <v>0</v>
      </c>
      <c r="AP184" s="3">
        <f>'IS (Bull-Case)'!AP184-'IS (Base-Case)'!AP184</f>
        <v>0</v>
      </c>
      <c r="AQ184" s="3">
        <f>'IS (Bull-Case)'!AQ184-'IS (Base-Case)'!AQ184</f>
        <v>0</v>
      </c>
      <c r="AR184" s="1">
        <f>'IS (Bull-Case)'!AR184-'IS (Base-Case)'!AR184</f>
        <v>0</v>
      </c>
      <c r="AS184" s="1">
        <f>'IS (Bull-Case)'!AS184-'IS (Base-Case)'!AS184</f>
        <v>0</v>
      </c>
      <c r="AT184" s="3">
        <f>'IS (Bull-Case)'!AT184-'IS (Base-Case)'!AT184</f>
        <v>0</v>
      </c>
      <c r="AU184" s="3">
        <f>'IS (Bull-Case)'!AU184-'IS (Base-Case)'!AU184</f>
        <v>0</v>
      </c>
      <c r="AV184" s="3">
        <f>'IS (Bull-Case)'!AV184-'IS (Base-Case)'!AV184</f>
        <v>0</v>
      </c>
    </row>
    <row r="185" spans="1:48" s="8" customFormat="1" x14ac:dyDescent="0.3">
      <c r="A185" s="161"/>
      <c r="B185" s="382" t="s">
        <v>323</v>
      </c>
      <c r="Q185" s="384">
        <f>'IS (Bull-Case)'!Q185-'IS (Base-Case)'!Q185</f>
        <v>0</v>
      </c>
      <c r="R185" s="384">
        <f>'IS (Bull-Case)'!R185-'IS (Base-Case)'!R185</f>
        <v>0</v>
      </c>
      <c r="S185" s="384">
        <f>'IS (Bull-Case)'!S185-'IS (Base-Case)'!S185</f>
        <v>0</v>
      </c>
      <c r="T185" s="384">
        <f>'IS (Bull-Case)'!T185-'IS (Base-Case)'!T185</f>
        <v>0</v>
      </c>
      <c r="U185" s="384">
        <f>'IS (Bull-Case)'!U185-'IS (Base-Case)'!U185</f>
        <v>0</v>
      </c>
      <c r="V185" s="384">
        <f>'IS (Bull-Case)'!V185-'IS (Base-Case)'!V185</f>
        <v>0</v>
      </c>
      <c r="W185" s="384">
        <f>'IS (Bull-Case)'!W185-'IS (Base-Case)'!W185</f>
        <v>0</v>
      </c>
      <c r="X185" s="384">
        <f>'IS (Bull-Case)'!X185-'IS (Base-Case)'!X185</f>
        <v>0</v>
      </c>
      <c r="Y185" s="384">
        <f>'IS (Bull-Case)'!Y185-'IS (Base-Case)'!Y185</f>
        <v>0</v>
      </c>
      <c r="Z185" s="384">
        <f>'IS (Bull-Case)'!Z185-'IS (Base-Case)'!Z185</f>
        <v>0</v>
      </c>
      <c r="AA185" s="384">
        <f>'IS (Bull-Case)'!AA185-'IS (Base-Case)'!AA185</f>
        <v>0</v>
      </c>
      <c r="AB185" s="384">
        <f>'IS (Bull-Case)'!AB185-'IS (Base-Case)'!AB185</f>
        <v>0</v>
      </c>
      <c r="AC185" s="384">
        <f>'IS (Bull-Case)'!AC185-'IS (Base-Case)'!AC185</f>
        <v>0</v>
      </c>
      <c r="AD185" s="384">
        <f>'IS (Bull-Case)'!AD185-'IS (Base-Case)'!AD185</f>
        <v>0</v>
      </c>
      <c r="AE185" s="384">
        <f>'IS (Bull-Case)'!AE185-'IS (Base-Case)'!AE185</f>
        <v>0</v>
      </c>
      <c r="AF185" s="384">
        <f>'IS (Bull-Case)'!AF185-'IS (Base-Case)'!AF185</f>
        <v>0</v>
      </c>
      <c r="AG185" s="384">
        <f>'IS (Bull-Case)'!AG185-'IS (Base-Case)'!AG185</f>
        <v>0</v>
      </c>
      <c r="AH185" s="384">
        <f>'IS (Bull-Case)'!AH185-'IS (Base-Case)'!AH185</f>
        <v>0</v>
      </c>
      <c r="AI185" s="384">
        <f>'IS (Bull-Case)'!AI185-'IS (Base-Case)'!AI185</f>
        <v>0</v>
      </c>
      <c r="AJ185" s="384">
        <f>'IS (Bull-Case)'!AJ185-'IS (Base-Case)'!AJ185</f>
        <v>0</v>
      </c>
      <c r="AK185" s="384">
        <f>'IS (Bull-Case)'!AK185-'IS (Base-Case)'!AK185</f>
        <v>0</v>
      </c>
      <c r="AL185" s="384">
        <f>'IS (Bull-Case)'!AL185-'IS (Base-Case)'!AL185</f>
        <v>0</v>
      </c>
      <c r="AM185" s="384">
        <f>'IS (Bull-Case)'!AM185-'IS (Base-Case)'!AM185</f>
        <v>0</v>
      </c>
      <c r="AN185" s="384">
        <f>'IS (Bull-Case)'!AN185-'IS (Base-Case)'!AN185</f>
        <v>0</v>
      </c>
      <c r="AO185" s="384">
        <f>'IS (Bull-Case)'!AO185-'IS (Base-Case)'!AO185</f>
        <v>0</v>
      </c>
      <c r="AP185" s="384">
        <f>'IS (Bull-Case)'!AP185-'IS (Base-Case)'!AP185</f>
        <v>0</v>
      </c>
      <c r="AQ185" s="384">
        <f>'IS (Bull-Case)'!AQ185-'IS (Base-Case)'!AQ185</f>
        <v>0</v>
      </c>
      <c r="AR185" s="384">
        <f>'IS (Bull-Case)'!AR185-'IS (Base-Case)'!AR185</f>
        <v>0</v>
      </c>
      <c r="AS185" s="384">
        <f>'IS (Bull-Case)'!AS185-'IS (Base-Case)'!AS185</f>
        <v>0</v>
      </c>
      <c r="AT185" s="384">
        <f>'IS (Bull-Case)'!AT185-'IS (Base-Case)'!AT185</f>
        <v>0</v>
      </c>
      <c r="AU185" s="384">
        <f>'IS (Bull-Case)'!AU185-'IS (Base-Case)'!AU185</f>
        <v>0</v>
      </c>
      <c r="AV185" s="8">
        <f>'IS (Bull-Case)'!AV185-'IS (Base-Case)'!AV185</f>
        <v>0</v>
      </c>
    </row>
    <row r="186" spans="1:48" s="8" customFormat="1" x14ac:dyDescent="0.3">
      <c r="A186" s="161"/>
      <c r="B186" s="382" t="s">
        <v>324</v>
      </c>
      <c r="Q186" s="384">
        <f>'IS (Bull-Case)'!Q186-'IS (Base-Case)'!Q186</f>
        <v>0</v>
      </c>
      <c r="R186" s="384">
        <f>'IS (Bull-Case)'!R186-'IS (Base-Case)'!R186</f>
        <v>0</v>
      </c>
      <c r="S186" s="384">
        <f>'IS (Bull-Case)'!S186-'IS (Base-Case)'!S186</f>
        <v>0</v>
      </c>
      <c r="T186" s="384">
        <f>'IS (Bull-Case)'!T186-'IS (Base-Case)'!T186</f>
        <v>0</v>
      </c>
      <c r="U186" s="384">
        <f>'IS (Bull-Case)'!U186-'IS (Base-Case)'!U186</f>
        <v>0</v>
      </c>
      <c r="V186" s="384">
        <f>'IS (Bull-Case)'!V186-'IS (Base-Case)'!V186</f>
        <v>0</v>
      </c>
      <c r="W186" s="384">
        <f>'IS (Bull-Case)'!W186-'IS (Base-Case)'!W186</f>
        <v>0</v>
      </c>
      <c r="X186" s="384">
        <f>'IS (Bull-Case)'!X186-'IS (Base-Case)'!X186</f>
        <v>0</v>
      </c>
      <c r="Y186" s="384">
        <f>'IS (Bull-Case)'!Y186-'IS (Base-Case)'!Y186</f>
        <v>0</v>
      </c>
      <c r="Z186" s="384">
        <f>'IS (Bull-Case)'!Z186-'IS (Base-Case)'!Z186</f>
        <v>0</v>
      </c>
      <c r="AA186" s="384">
        <f>'IS (Bull-Case)'!AA186-'IS (Base-Case)'!AA186</f>
        <v>0</v>
      </c>
      <c r="AB186" s="384">
        <f>'IS (Bull-Case)'!AB186-'IS (Base-Case)'!AB186</f>
        <v>0</v>
      </c>
      <c r="AC186" s="384">
        <f>'IS (Bull-Case)'!AC186-'IS (Base-Case)'!AC186</f>
        <v>0</v>
      </c>
      <c r="AD186" s="384">
        <f>'IS (Bull-Case)'!AD186-'IS (Base-Case)'!AD186</f>
        <v>0</v>
      </c>
      <c r="AE186" s="384">
        <f>'IS (Bull-Case)'!AE186-'IS (Base-Case)'!AE186</f>
        <v>0</v>
      </c>
      <c r="AF186" s="384">
        <f>'IS (Bull-Case)'!AF186-'IS (Base-Case)'!AF186</f>
        <v>0</v>
      </c>
      <c r="AG186" s="384">
        <f>'IS (Bull-Case)'!AG186-'IS (Base-Case)'!AG186</f>
        <v>0</v>
      </c>
      <c r="AH186" s="384">
        <f>'IS (Bull-Case)'!AH186-'IS (Base-Case)'!AH186</f>
        <v>0</v>
      </c>
      <c r="AI186" s="384">
        <f>'IS (Bull-Case)'!AI186-'IS (Base-Case)'!AI186</f>
        <v>0</v>
      </c>
      <c r="AJ186" s="384">
        <f>'IS (Bull-Case)'!AJ186-'IS (Base-Case)'!AJ186</f>
        <v>0</v>
      </c>
      <c r="AK186" s="384">
        <f>'IS (Bull-Case)'!AK186-'IS (Base-Case)'!AK186</f>
        <v>0</v>
      </c>
      <c r="AL186" s="384">
        <f>'IS (Bull-Case)'!AL186-'IS (Base-Case)'!AL186</f>
        <v>0</v>
      </c>
      <c r="AM186" s="384">
        <f>'IS (Bull-Case)'!AM186-'IS (Base-Case)'!AM186</f>
        <v>0</v>
      </c>
      <c r="AN186" s="384">
        <f>'IS (Bull-Case)'!AN186-'IS (Base-Case)'!AN186</f>
        <v>0</v>
      </c>
      <c r="AO186" s="384">
        <f>'IS (Bull-Case)'!AO186-'IS (Base-Case)'!AO186</f>
        <v>0</v>
      </c>
      <c r="AP186" s="384">
        <f>'IS (Bull-Case)'!AP186-'IS (Base-Case)'!AP186</f>
        <v>0</v>
      </c>
      <c r="AQ186" s="384">
        <f>'IS (Bull-Case)'!AQ186-'IS (Base-Case)'!AQ186</f>
        <v>0</v>
      </c>
      <c r="AR186" s="384">
        <f>'IS (Bull-Case)'!AR186-'IS (Base-Case)'!AR186</f>
        <v>0</v>
      </c>
      <c r="AS186" s="384">
        <f>'IS (Bull-Case)'!AS186-'IS (Base-Case)'!AS186</f>
        <v>0</v>
      </c>
      <c r="AT186" s="384">
        <f>'IS (Bull-Case)'!AT186-'IS (Base-Case)'!AT186</f>
        <v>0</v>
      </c>
      <c r="AU186" s="384">
        <f>'IS (Bull-Case)'!AU186-'IS (Base-Case)'!AU186</f>
        <v>0</v>
      </c>
      <c r="AV186" s="8">
        <f>'IS (Bull-Case)'!AV186-'IS (Base-Case)'!AV186</f>
        <v>0</v>
      </c>
    </row>
    <row r="187" spans="1:48" s="8" customFormat="1" x14ac:dyDescent="0.3">
      <c r="A187" s="161"/>
      <c r="B187" s="382" t="s">
        <v>325</v>
      </c>
      <c r="Q187" s="384">
        <f>'IS (Bull-Case)'!Q187-'IS (Base-Case)'!Q187</f>
        <v>0</v>
      </c>
      <c r="R187" s="384">
        <f>'IS (Bull-Case)'!R187-'IS (Base-Case)'!R187</f>
        <v>0</v>
      </c>
      <c r="S187" s="384">
        <f>'IS (Bull-Case)'!S187-'IS (Base-Case)'!S187</f>
        <v>0</v>
      </c>
      <c r="T187" s="384">
        <f>'IS (Bull-Case)'!T187-'IS (Base-Case)'!T187</f>
        <v>0</v>
      </c>
      <c r="U187" s="384">
        <f>'IS (Bull-Case)'!U187-'IS (Base-Case)'!U187</f>
        <v>0</v>
      </c>
      <c r="V187" s="384">
        <f>'IS (Bull-Case)'!V187-'IS (Base-Case)'!V187</f>
        <v>0</v>
      </c>
      <c r="W187" s="384">
        <f>'IS (Bull-Case)'!W187-'IS (Base-Case)'!W187</f>
        <v>0</v>
      </c>
      <c r="X187" s="384">
        <f>'IS (Bull-Case)'!X187-'IS (Base-Case)'!X187</f>
        <v>0</v>
      </c>
      <c r="Y187" s="384">
        <f>'IS (Bull-Case)'!Y187-'IS (Base-Case)'!Y187</f>
        <v>0</v>
      </c>
      <c r="Z187" s="384">
        <f>'IS (Bull-Case)'!Z187-'IS (Base-Case)'!Z187</f>
        <v>0</v>
      </c>
      <c r="AA187" s="384">
        <f>'IS (Bull-Case)'!AA187-'IS (Base-Case)'!AA187</f>
        <v>0</v>
      </c>
      <c r="AB187" s="384">
        <f>'IS (Bull-Case)'!AB187-'IS (Base-Case)'!AB187</f>
        <v>0</v>
      </c>
      <c r="AC187" s="384">
        <f>'IS (Bull-Case)'!AC187-'IS (Base-Case)'!AC187</f>
        <v>0</v>
      </c>
      <c r="AD187" s="384">
        <f>'IS (Bull-Case)'!AD187-'IS (Base-Case)'!AD187</f>
        <v>0</v>
      </c>
      <c r="AE187" s="384">
        <f>'IS (Bull-Case)'!AE187-'IS (Base-Case)'!AE187</f>
        <v>0</v>
      </c>
      <c r="AF187" s="384">
        <f>'IS (Bull-Case)'!AF187-'IS (Base-Case)'!AF187</f>
        <v>0</v>
      </c>
      <c r="AG187" s="384">
        <f>'IS (Bull-Case)'!AG187-'IS (Base-Case)'!AG187</f>
        <v>0</v>
      </c>
      <c r="AH187" s="384">
        <f>'IS (Bull-Case)'!AH187-'IS (Base-Case)'!AH187</f>
        <v>0</v>
      </c>
      <c r="AI187" s="384">
        <f>'IS (Bull-Case)'!AI187-'IS (Base-Case)'!AI187</f>
        <v>0</v>
      </c>
      <c r="AJ187" s="384">
        <f>'IS (Bull-Case)'!AJ187-'IS (Base-Case)'!AJ187</f>
        <v>0</v>
      </c>
      <c r="AK187" s="384">
        <f>'IS (Bull-Case)'!AK187-'IS (Base-Case)'!AK187</f>
        <v>0</v>
      </c>
      <c r="AL187" s="384">
        <f>'IS (Bull-Case)'!AL187-'IS (Base-Case)'!AL187</f>
        <v>0</v>
      </c>
      <c r="AM187" s="384">
        <f>'IS (Bull-Case)'!AM187-'IS (Base-Case)'!AM187</f>
        <v>0</v>
      </c>
      <c r="AN187" s="384">
        <f>'IS (Bull-Case)'!AN187-'IS (Base-Case)'!AN187</f>
        <v>0</v>
      </c>
      <c r="AO187" s="384">
        <f>'IS (Bull-Case)'!AO187-'IS (Base-Case)'!AO187</f>
        <v>0</v>
      </c>
      <c r="AP187" s="384">
        <f>'IS (Bull-Case)'!AP187-'IS (Base-Case)'!AP187</f>
        <v>0</v>
      </c>
      <c r="AQ187" s="384">
        <f>'IS (Bull-Case)'!AQ187-'IS (Base-Case)'!AQ187</f>
        <v>0</v>
      </c>
      <c r="AR187" s="384">
        <f>'IS (Bull-Case)'!AR187-'IS (Base-Case)'!AR187</f>
        <v>0</v>
      </c>
      <c r="AS187" s="384">
        <f>'IS (Bull-Case)'!AS187-'IS (Base-Case)'!AS187</f>
        <v>0</v>
      </c>
      <c r="AT187" s="384">
        <f>'IS (Bull-Case)'!AT187-'IS (Base-Case)'!AT187</f>
        <v>0</v>
      </c>
      <c r="AU187" s="384">
        <f>'IS (Bull-Case)'!AU187-'IS (Base-Case)'!AU187</f>
        <v>0</v>
      </c>
      <c r="AV187" s="8">
        <f>'IS (Bull-Case)'!AV187-'IS (Base-Case)'!AV187</f>
        <v>0</v>
      </c>
    </row>
    <row r="188" spans="1:48" s="8" customFormat="1" x14ac:dyDescent="0.3">
      <c r="A188" s="161"/>
    </row>
    <row r="189" spans="1:48" s="8" customFormat="1" x14ac:dyDescent="0.3">
      <c r="A189" s="161"/>
    </row>
    <row r="190" spans="1:48" x14ac:dyDescent="0.3">
      <c r="A190" s="161"/>
    </row>
    <row r="191" spans="1:48" x14ac:dyDescent="0.3">
      <c r="A191" s="161"/>
    </row>
    <row r="192" spans="1:48" x14ac:dyDescent="0.3">
      <c r="A192" s="161"/>
    </row>
    <row r="193" spans="1:1" s="23" customFormat="1" x14ac:dyDescent="0.3">
      <c r="A193" s="161"/>
    </row>
    <row r="194" spans="1:1" x14ac:dyDescent="0.3">
      <c r="A194" s="161"/>
    </row>
    <row r="195" spans="1:1" x14ac:dyDescent="0.3">
      <c r="A195" s="161"/>
    </row>
    <row r="196" spans="1:1" x14ac:dyDescent="0.3">
      <c r="A196" s="161"/>
    </row>
    <row r="197" spans="1:1" x14ac:dyDescent="0.3">
      <c r="A197" s="161"/>
    </row>
    <row r="198" spans="1:1" x14ac:dyDescent="0.3">
      <c r="A198" s="161"/>
    </row>
    <row r="199" spans="1:1" x14ac:dyDescent="0.3">
      <c r="A199" s="161"/>
    </row>
    <row r="200" spans="1:1" x14ac:dyDescent="0.3">
      <c r="A200" s="161"/>
    </row>
    <row r="201" spans="1:1" x14ac:dyDescent="0.3">
      <c r="A201" s="161"/>
    </row>
    <row r="202" spans="1:1" x14ac:dyDescent="0.3">
      <c r="A202" s="161"/>
    </row>
    <row r="203" spans="1:1" x14ac:dyDescent="0.3">
      <c r="A203" s="161"/>
    </row>
    <row r="204" spans="1:1" x14ac:dyDescent="0.3">
      <c r="A204" s="161"/>
    </row>
    <row r="205" spans="1:1" ht="15.75" customHeight="1" x14ac:dyDescent="0.3">
      <c r="A205" s="161"/>
    </row>
    <row r="206" spans="1:1" x14ac:dyDescent="0.3">
      <c r="A206" s="161"/>
    </row>
    <row r="219" s="23" customFormat="1" x14ac:dyDescent="0.3"/>
    <row r="221" s="23" customFormat="1" x14ac:dyDescent="0.3"/>
    <row r="222" s="23" customFormat="1" x14ac:dyDescent="0.3"/>
    <row r="223" s="23" customFormat="1" x14ac:dyDescent="0.3"/>
    <row r="224" s="23" customFormat="1" x14ac:dyDescent="0.3"/>
    <row r="225" spans="2:7" s="23" customFormat="1" x14ac:dyDescent="0.3"/>
    <row r="226" spans="2:7" s="23" customFormat="1" x14ac:dyDescent="0.3"/>
    <row r="227" spans="2:7" s="23" customFormat="1" x14ac:dyDescent="0.3"/>
    <row r="228" spans="2:7" s="23" customFormat="1" x14ac:dyDescent="0.3"/>
    <row r="230" spans="2:7" x14ac:dyDescent="0.3">
      <c r="B230" s="7"/>
      <c r="C230" s="7"/>
      <c r="D230" s="4"/>
      <c r="E230" s="4"/>
      <c r="F230" s="4"/>
      <c r="G230" s="4"/>
    </row>
    <row r="270" s="23" customFormat="1" x14ac:dyDescent="0.3"/>
    <row r="271" s="23" customFormat="1" x14ac:dyDescent="0.3"/>
    <row r="272" s="23" customFormat="1" x14ac:dyDescent="0.3"/>
    <row r="281" spans="4:48" s="23" customFormat="1" x14ac:dyDescent="0.3"/>
    <row r="282" spans="4:48" s="23" customFormat="1" x14ac:dyDescent="0.3"/>
    <row r="283" spans="4:48" s="23" customFormat="1" x14ac:dyDescent="0.3"/>
    <row r="285" spans="4:48" s="63" customFormat="1" x14ac:dyDescent="0.3"/>
    <row r="286" spans="4:48" x14ac:dyDescent="0.3">
      <c r="D286" s="10"/>
      <c r="E286" s="10"/>
      <c r="F286" s="10"/>
      <c r="G286" s="10"/>
      <c r="H286" s="10"/>
      <c r="I286" s="10"/>
      <c r="J286" s="10"/>
      <c r="K286" s="10"/>
      <c r="L286" s="10"/>
      <c r="M286" s="10"/>
      <c r="N286" s="10"/>
      <c r="O286" s="10"/>
      <c r="P286" s="10"/>
      <c r="Q286" s="10"/>
      <c r="R286" s="10"/>
      <c r="S286" s="10"/>
      <c r="T286" s="10"/>
      <c r="U286" s="10"/>
      <c r="V286" s="10"/>
      <c r="W286" s="10"/>
      <c r="X286" s="10"/>
      <c r="AC286" s="10"/>
      <c r="AD286" s="10"/>
      <c r="AE286" s="10"/>
      <c r="AF286" s="10"/>
      <c r="AG286" s="10"/>
      <c r="AH286" s="10"/>
      <c r="AI286" s="10"/>
      <c r="AJ286" s="10"/>
      <c r="AK286" s="10"/>
      <c r="AL286" s="10"/>
      <c r="AM286" s="10"/>
      <c r="AN286" s="10"/>
      <c r="AO286" s="10"/>
      <c r="AP286" s="10"/>
      <c r="AQ286" s="10"/>
      <c r="AR286" s="10"/>
      <c r="AS286" s="10"/>
      <c r="AT286" s="10"/>
      <c r="AU286" s="10"/>
      <c r="AV286" s="10"/>
    </row>
    <row r="287" spans="4:48" x14ac:dyDescent="0.3">
      <c r="D287" s="163"/>
      <c r="E287" s="5"/>
      <c r="F287" s="5"/>
      <c r="G287" s="5"/>
      <c r="H287" s="5"/>
      <c r="I287" s="5"/>
      <c r="J287" s="5"/>
      <c r="K287" s="5"/>
      <c r="L287" s="5"/>
      <c r="M287" s="5"/>
      <c r="N287" s="5"/>
      <c r="O287" s="5"/>
      <c r="P287" s="5"/>
      <c r="Q287" s="5"/>
      <c r="R287" s="5"/>
      <c r="S287" s="5"/>
      <c r="T287" s="5"/>
      <c r="U287" s="5"/>
      <c r="V287" s="5"/>
      <c r="W287" s="5"/>
      <c r="X287" s="5"/>
      <c r="AC287" s="5"/>
      <c r="AD287" s="5"/>
      <c r="AE287" s="5"/>
      <c r="AF287" s="5"/>
      <c r="AG287" s="5"/>
      <c r="AH287" s="5"/>
      <c r="AI287" s="5"/>
      <c r="AJ287" s="5"/>
      <c r="AK287" s="5"/>
      <c r="AL287" s="5"/>
      <c r="AM287" s="5"/>
      <c r="AN287" s="5"/>
      <c r="AO287" s="5"/>
      <c r="AP287" s="5"/>
      <c r="AQ287" s="5"/>
      <c r="AR287" s="5"/>
      <c r="AS287" s="5"/>
      <c r="AT287" s="5"/>
      <c r="AU287" s="5"/>
      <c r="AV287" s="5"/>
    </row>
    <row r="288" spans="4:48" x14ac:dyDescent="0.3">
      <c r="D288" s="164"/>
    </row>
    <row r="289" spans="4:48" x14ac:dyDescent="0.3">
      <c r="D289" s="164"/>
    </row>
    <row r="290" spans="4:48" x14ac:dyDescent="0.3">
      <c r="D290" s="164"/>
    </row>
    <row r="291" spans="4:48" x14ac:dyDescent="0.3">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row>
    <row r="293" spans="4:48" ht="15" customHeight="1" x14ac:dyDescent="0.3"/>
    <row r="295" spans="4:48" x14ac:dyDescent="0.3">
      <c r="D295" s="163"/>
    </row>
    <row r="296" spans="4:48" x14ac:dyDescent="0.3">
      <c r="D296" s="164"/>
    </row>
    <row r="297" spans="4:48" x14ac:dyDescent="0.3">
      <c r="D297" s="164"/>
    </row>
    <row r="298" spans="4:48" x14ac:dyDescent="0.3">
      <c r="D298" s="164"/>
    </row>
    <row r="299" spans="4:48" x14ac:dyDescent="0.3">
      <c r="D299" s="164"/>
    </row>
    <row r="300" spans="4:48" x14ac:dyDescent="0.3">
      <c r="D300" s="164"/>
    </row>
    <row r="301" spans="4:48" x14ac:dyDescent="0.3">
      <c r="D301" s="164"/>
    </row>
    <row r="302" spans="4:48" x14ac:dyDescent="0.3">
      <c r="D302" s="164"/>
    </row>
    <row r="303" spans="4:48" x14ac:dyDescent="0.3">
      <c r="D303" s="164"/>
    </row>
    <row r="304" spans="4:48" x14ac:dyDescent="0.3">
      <c r="D304" s="164"/>
    </row>
    <row r="305" spans="4:4" x14ac:dyDescent="0.3">
      <c r="D305" s="164"/>
    </row>
    <row r="306" spans="4:4" x14ac:dyDescent="0.3">
      <c r="D306" s="164"/>
    </row>
    <row r="307" spans="4:4" x14ac:dyDescent="0.3">
      <c r="D307" s="164"/>
    </row>
    <row r="308" spans="4:4" x14ac:dyDescent="0.3">
      <c r="D308" s="164"/>
    </row>
    <row r="309" spans="4:4" x14ac:dyDescent="0.3">
      <c r="D309" s="164"/>
    </row>
    <row r="310" spans="4:4" x14ac:dyDescent="0.3">
      <c r="D310" s="164"/>
    </row>
    <row r="311" spans="4:4" x14ac:dyDescent="0.3">
      <c r="D311" s="164"/>
    </row>
    <row r="312" spans="4:4" x14ac:dyDescent="0.3">
      <c r="D312" s="164"/>
    </row>
    <row r="313" spans="4:4" x14ac:dyDescent="0.3">
      <c r="D313" s="164"/>
    </row>
    <row r="314" spans="4:4" x14ac:dyDescent="0.3">
      <c r="D314" s="164"/>
    </row>
    <row r="315" spans="4:4" x14ac:dyDescent="0.3">
      <c r="D315" s="164"/>
    </row>
    <row r="316" spans="4:4" x14ac:dyDescent="0.3">
      <c r="D316" s="164"/>
    </row>
  </sheetData>
  <dataConsolidate/>
  <mergeCells count="61">
    <mergeCell ref="B172:C172"/>
    <mergeCell ref="B156:C156"/>
    <mergeCell ref="B157:C157"/>
    <mergeCell ref="B158:C158"/>
    <mergeCell ref="B162:C162"/>
    <mergeCell ref="B163:C163"/>
    <mergeCell ref="B165:C165"/>
    <mergeCell ref="B155:C155"/>
    <mergeCell ref="B140:C140"/>
    <mergeCell ref="B141:C141"/>
    <mergeCell ref="B142:C142"/>
    <mergeCell ref="B143:C143"/>
    <mergeCell ref="B144:C144"/>
    <mergeCell ref="B145:C145"/>
    <mergeCell ref="B150:C150"/>
    <mergeCell ref="B151:C151"/>
    <mergeCell ref="B152:C152"/>
    <mergeCell ref="B153:C153"/>
    <mergeCell ref="B154:C154"/>
    <mergeCell ref="B138:C138"/>
    <mergeCell ref="B87:C87"/>
    <mergeCell ref="B88:C88"/>
    <mergeCell ref="B92:C92"/>
    <mergeCell ref="B93:C93"/>
    <mergeCell ref="B107:C107"/>
    <mergeCell ref="B108:C108"/>
    <mergeCell ref="B110:C110"/>
    <mergeCell ref="B122:C122"/>
    <mergeCell ref="B123:C123"/>
    <mergeCell ref="B125:C125"/>
    <mergeCell ref="B132:C132"/>
    <mergeCell ref="B83:C83"/>
    <mergeCell ref="B40:C40"/>
    <mergeCell ref="B41:C41"/>
    <mergeCell ref="B45:C45"/>
    <mergeCell ref="B50:C50"/>
    <mergeCell ref="B54:C54"/>
    <mergeCell ref="B55:C55"/>
    <mergeCell ref="B59:C59"/>
    <mergeCell ref="B60:C60"/>
    <mergeCell ref="B73:C73"/>
    <mergeCell ref="B74:C74"/>
    <mergeCell ref="B78:C78"/>
    <mergeCell ref="B39:C39"/>
    <mergeCell ref="B8:C8"/>
    <mergeCell ref="B9:C9"/>
    <mergeCell ref="B16:C16"/>
    <mergeCell ref="B23:C23"/>
    <mergeCell ref="B24:C24"/>
    <mergeCell ref="B25:C25"/>
    <mergeCell ref="B30:C30"/>
    <mergeCell ref="B31:C31"/>
    <mergeCell ref="B32:C32"/>
    <mergeCell ref="B33:C33"/>
    <mergeCell ref="B38:C38"/>
    <mergeCell ref="B7:C7"/>
    <mergeCell ref="A3:A4"/>
    <mergeCell ref="B3:C3"/>
    <mergeCell ref="B4:C4"/>
    <mergeCell ref="B5:C5"/>
    <mergeCell ref="B6:C6"/>
  </mergeCells>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rowBreaks count="1" manualBreakCount="1">
    <brk id="138" max="1638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48922-A981-4F41-B472-4C2328747E46}">
  <sheetPr>
    <tabColor theme="2" tint="-9.9978637043366805E-2"/>
    <pageSetUpPr fitToPage="1"/>
  </sheetPr>
  <dimension ref="A1:AV67"/>
  <sheetViews>
    <sheetView showGridLines="0" zoomScaleNormal="100" workbookViewId="0">
      <pane xSplit="3" ySplit="5" topLeftCell="X6" activePane="bottomRight" state="frozen"/>
      <selection activeCell="B24" sqref="B24:C24"/>
      <selection pane="topRight" activeCell="B24" sqref="B24:C24"/>
      <selection pane="bottomLeft" activeCell="B24" sqref="B24:C24"/>
      <selection pane="bottomRight" activeCell="D6" sqref="D6"/>
    </sheetView>
  </sheetViews>
  <sheetFormatPr defaultColWidth="8.88671875" defaultRowHeight="14.4" outlineLevelRow="1" outlineLevelCol="1" x14ac:dyDescent="0.3"/>
  <cols>
    <col min="1" max="1" width="2" style="2" customWidth="1"/>
    <col min="2" max="2" width="39" style="2" customWidth="1"/>
    <col min="3" max="3" width="10" style="2" customWidth="1"/>
    <col min="4" max="5" width="11.5546875" style="1" customWidth="1" outlineLevel="1"/>
    <col min="6" max="7" width="11.5546875" style="3" customWidth="1" outlineLevel="1"/>
    <col min="8" max="8" width="11.5546875" style="3" customWidth="1"/>
    <col min="9" max="10" width="11.5546875" style="1" customWidth="1" outlineLevel="1"/>
    <col min="11" max="12" width="11.5546875" style="3" customWidth="1" outlineLevel="1"/>
    <col min="13" max="13" width="11.5546875" style="3" customWidth="1"/>
    <col min="14" max="15" width="11.5546875" style="1" customWidth="1" outlineLevel="1"/>
    <col min="16" max="17" width="11.5546875" style="3" customWidth="1" outlineLevel="1"/>
    <col min="18" max="18" width="11.5546875" style="3" customWidth="1"/>
    <col min="19" max="20" width="11.5546875" style="1" customWidth="1" outlineLevel="1"/>
    <col min="21" max="22" width="11.5546875" style="3" customWidth="1" outlineLevel="1"/>
    <col min="23" max="23" width="11.5546875" style="3" customWidth="1"/>
    <col min="24" max="25" width="11.5546875" style="1" customWidth="1" outlineLevel="1"/>
    <col min="26" max="27" width="11.5546875" style="3" customWidth="1" outlineLevel="1"/>
    <col min="28" max="28" width="11.5546875" style="3" customWidth="1"/>
    <col min="29" max="30" width="11.5546875" style="1" customWidth="1" outlineLevel="1"/>
    <col min="31" max="32" width="11.5546875" style="3" customWidth="1" outlineLevel="1"/>
    <col min="33" max="33" width="11.5546875" style="3" customWidth="1"/>
    <col min="34" max="35" width="11.5546875" style="1" customWidth="1" outlineLevel="1"/>
    <col min="36" max="37" width="11.5546875" style="3" customWidth="1" outlineLevel="1"/>
    <col min="38" max="38" width="11.5546875" style="3" customWidth="1"/>
    <col min="39" max="40" width="11.5546875" style="1" customWidth="1" outlineLevel="1"/>
    <col min="41" max="42" width="11.5546875" style="3" customWidth="1" outlineLevel="1"/>
    <col min="43" max="43" width="11.5546875" style="3" customWidth="1"/>
    <col min="44" max="45" width="11.5546875" style="1" customWidth="1" outlineLevel="1"/>
    <col min="46" max="47" width="11.5546875" style="3" customWidth="1" outlineLevel="1"/>
    <col min="48" max="48" width="11.5546875" style="3" customWidth="1"/>
    <col min="49" max="16384" width="8.88671875" style="2"/>
  </cols>
  <sheetData>
    <row r="1" spans="1:48" ht="16.2" customHeight="1" x14ac:dyDescent="0.3">
      <c r="B1" s="237" t="s">
        <v>210</v>
      </c>
      <c r="D1" s="45"/>
      <c r="E1" s="149"/>
      <c r="F1" s="149"/>
      <c r="G1" s="149"/>
      <c r="H1" s="149"/>
      <c r="I1" s="216"/>
      <c r="J1" s="216"/>
      <c r="K1" s="216"/>
      <c r="L1" s="216"/>
      <c r="M1" s="162"/>
      <c r="N1" s="216"/>
      <c r="O1" s="216"/>
      <c r="P1" s="216"/>
      <c r="Q1" s="216"/>
      <c r="R1" s="195"/>
      <c r="S1" s="216"/>
      <c r="T1" s="216"/>
      <c r="U1" s="216"/>
      <c r="V1" s="216"/>
      <c r="W1" s="195"/>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row>
    <row r="2" spans="1:48" ht="5.4" customHeight="1" x14ac:dyDescent="0.3">
      <c r="B2" s="99"/>
      <c r="D2" s="45"/>
      <c r="E2" s="149"/>
      <c r="F2" s="149"/>
      <c r="G2" s="149"/>
      <c r="H2" s="149"/>
      <c r="I2" s="216"/>
      <c r="J2" s="216"/>
      <c r="K2" s="216"/>
      <c r="L2" s="216"/>
      <c r="M2" s="162"/>
      <c r="N2" s="216"/>
      <c r="O2" s="216"/>
      <c r="P2" s="216"/>
      <c r="Q2" s="216"/>
      <c r="R2" s="195"/>
      <c r="S2" s="216"/>
      <c r="T2" s="216"/>
      <c r="U2" s="216"/>
      <c r="V2" s="216"/>
      <c r="W2" s="195"/>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row>
    <row r="3" spans="1:48" ht="15.6" x14ac:dyDescent="0.3">
      <c r="B3" s="433" t="s">
        <v>211</v>
      </c>
      <c r="C3" s="434"/>
      <c r="D3" s="13" t="s">
        <v>15</v>
      </c>
      <c r="E3" s="13" t="s">
        <v>82</v>
      </c>
      <c r="F3" s="13" t="s">
        <v>84</v>
      </c>
      <c r="G3" s="13" t="s">
        <v>147</v>
      </c>
      <c r="H3" s="39" t="s">
        <v>147</v>
      </c>
      <c r="I3" s="13" t="s">
        <v>146</v>
      </c>
      <c r="J3" s="13" t="s">
        <v>145</v>
      </c>
      <c r="K3" s="13" t="s">
        <v>144</v>
      </c>
      <c r="L3" s="13" t="s">
        <v>141</v>
      </c>
      <c r="M3" s="39" t="s">
        <v>141</v>
      </c>
      <c r="N3" s="13" t="s">
        <v>148</v>
      </c>
      <c r="O3" s="13" t="s">
        <v>156</v>
      </c>
      <c r="P3" s="13" t="s">
        <v>158</v>
      </c>
      <c r="Q3" s="13" t="s">
        <v>171</v>
      </c>
      <c r="R3" s="39" t="s">
        <v>171</v>
      </c>
      <c r="S3" s="13" t="s">
        <v>187</v>
      </c>
      <c r="T3" s="13" t="s">
        <v>190</v>
      </c>
      <c r="U3" s="13" t="s">
        <v>203</v>
      </c>
      <c r="V3" s="15" t="s">
        <v>20</v>
      </c>
      <c r="W3" s="41" t="s">
        <v>20</v>
      </c>
      <c r="X3" s="15" t="s">
        <v>21</v>
      </c>
      <c r="Y3" s="15" t="s">
        <v>22</v>
      </c>
      <c r="Z3" s="15" t="s">
        <v>23</v>
      </c>
      <c r="AA3" s="15" t="s">
        <v>24</v>
      </c>
      <c r="AB3" s="41" t="s">
        <v>24</v>
      </c>
      <c r="AC3" s="15" t="s">
        <v>86</v>
      </c>
      <c r="AD3" s="15" t="s">
        <v>87</v>
      </c>
      <c r="AE3" s="15" t="s">
        <v>88</v>
      </c>
      <c r="AF3" s="15" t="s">
        <v>89</v>
      </c>
      <c r="AG3" s="41" t="s">
        <v>89</v>
      </c>
      <c r="AH3" s="15" t="s">
        <v>105</v>
      </c>
      <c r="AI3" s="15" t="s">
        <v>106</v>
      </c>
      <c r="AJ3" s="15" t="s">
        <v>107</v>
      </c>
      <c r="AK3" s="15" t="s">
        <v>108</v>
      </c>
      <c r="AL3" s="41" t="s">
        <v>108</v>
      </c>
      <c r="AM3" s="15" t="s">
        <v>160</v>
      </c>
      <c r="AN3" s="15" t="s">
        <v>161</v>
      </c>
      <c r="AO3" s="15" t="s">
        <v>162</v>
      </c>
      <c r="AP3" s="15" t="s">
        <v>163</v>
      </c>
      <c r="AQ3" s="41" t="s">
        <v>163</v>
      </c>
      <c r="AR3" s="15" t="s">
        <v>191</v>
      </c>
      <c r="AS3" s="15" t="s">
        <v>192</v>
      </c>
      <c r="AT3" s="15" t="s">
        <v>193</v>
      </c>
      <c r="AU3" s="15" t="s">
        <v>194</v>
      </c>
      <c r="AV3" s="41" t="s">
        <v>194</v>
      </c>
    </row>
    <row r="4" spans="1:48" ht="16.2" x14ac:dyDescent="0.45">
      <c r="B4" s="251" t="s">
        <v>3</v>
      </c>
      <c r="C4" s="252"/>
      <c r="D4" s="14" t="s">
        <v>19</v>
      </c>
      <c r="E4" s="14" t="s">
        <v>81</v>
      </c>
      <c r="F4" s="14" t="s">
        <v>85</v>
      </c>
      <c r="G4" s="14" t="s">
        <v>95</v>
      </c>
      <c r="H4" s="40" t="s">
        <v>96</v>
      </c>
      <c r="I4" s="14" t="s">
        <v>97</v>
      </c>
      <c r="J4" s="14" t="s">
        <v>98</v>
      </c>
      <c r="K4" s="14" t="s">
        <v>99</v>
      </c>
      <c r="L4" s="14" t="s">
        <v>142</v>
      </c>
      <c r="M4" s="40" t="s">
        <v>143</v>
      </c>
      <c r="N4" s="14" t="s">
        <v>149</v>
      </c>
      <c r="O4" s="14" t="s">
        <v>157</v>
      </c>
      <c r="P4" s="14" t="s">
        <v>159</v>
      </c>
      <c r="Q4" s="14" t="s">
        <v>172</v>
      </c>
      <c r="R4" s="40" t="s">
        <v>173</v>
      </c>
      <c r="S4" s="14" t="s">
        <v>188</v>
      </c>
      <c r="T4" s="14" t="s">
        <v>189</v>
      </c>
      <c r="U4" s="14" t="s">
        <v>204</v>
      </c>
      <c r="V4" s="12" t="s">
        <v>25</v>
      </c>
      <c r="W4" s="42" t="s">
        <v>26</v>
      </c>
      <c r="X4" s="12" t="s">
        <v>27</v>
      </c>
      <c r="Y4" s="12" t="s">
        <v>28</v>
      </c>
      <c r="Z4" s="12" t="s">
        <v>29</v>
      </c>
      <c r="AA4" s="12" t="s">
        <v>30</v>
      </c>
      <c r="AB4" s="42" t="s">
        <v>31</v>
      </c>
      <c r="AC4" s="12" t="s">
        <v>90</v>
      </c>
      <c r="AD4" s="12" t="s">
        <v>91</v>
      </c>
      <c r="AE4" s="12" t="s">
        <v>92</v>
      </c>
      <c r="AF4" s="12" t="s">
        <v>93</v>
      </c>
      <c r="AG4" s="42" t="s">
        <v>94</v>
      </c>
      <c r="AH4" s="12" t="s">
        <v>109</v>
      </c>
      <c r="AI4" s="12" t="s">
        <v>110</v>
      </c>
      <c r="AJ4" s="12" t="s">
        <v>111</v>
      </c>
      <c r="AK4" s="12" t="s">
        <v>112</v>
      </c>
      <c r="AL4" s="42" t="s">
        <v>113</v>
      </c>
      <c r="AM4" s="12" t="s">
        <v>164</v>
      </c>
      <c r="AN4" s="12" t="s">
        <v>165</v>
      </c>
      <c r="AO4" s="12" t="s">
        <v>166</v>
      </c>
      <c r="AP4" s="12" t="s">
        <v>167</v>
      </c>
      <c r="AQ4" s="42" t="s">
        <v>168</v>
      </c>
      <c r="AR4" s="12" t="s">
        <v>195</v>
      </c>
      <c r="AS4" s="12" t="s">
        <v>196</v>
      </c>
      <c r="AT4" s="12" t="s">
        <v>197</v>
      </c>
      <c r="AU4" s="12" t="s">
        <v>198</v>
      </c>
      <c r="AV4" s="42" t="s">
        <v>199</v>
      </c>
    </row>
    <row r="5" spans="1:48" ht="14.55" customHeight="1" x14ac:dyDescent="0.3">
      <c r="B5" s="433" t="s">
        <v>212</v>
      </c>
      <c r="C5" s="434"/>
      <c r="D5" s="13"/>
      <c r="E5" s="13"/>
      <c r="F5" s="13"/>
      <c r="G5" s="258"/>
      <c r="H5" s="259"/>
      <c r="I5" s="258"/>
      <c r="J5" s="13"/>
      <c r="K5" s="13"/>
      <c r="L5" s="258"/>
      <c r="M5" s="259"/>
      <c r="N5" s="258"/>
      <c r="O5" s="13"/>
      <c r="P5" s="13"/>
      <c r="Q5" s="258"/>
      <c r="R5" s="259"/>
      <c r="S5" s="258"/>
      <c r="T5" s="13"/>
      <c r="U5" s="13"/>
      <c r="V5" s="15"/>
      <c r="W5" s="41"/>
      <c r="X5" s="15"/>
      <c r="Y5" s="15"/>
      <c r="Z5" s="15"/>
      <c r="AA5" s="15"/>
      <c r="AB5" s="41"/>
      <c r="AC5" s="15"/>
      <c r="AD5" s="15"/>
      <c r="AE5" s="15"/>
      <c r="AF5" s="15"/>
      <c r="AG5" s="41"/>
      <c r="AH5" s="15"/>
      <c r="AI5" s="15"/>
      <c r="AJ5" s="15"/>
      <c r="AK5" s="15"/>
      <c r="AL5" s="41"/>
      <c r="AM5" s="15"/>
      <c r="AN5" s="15"/>
      <c r="AO5" s="15"/>
      <c r="AP5" s="15"/>
      <c r="AQ5" s="41"/>
      <c r="AR5" s="15"/>
      <c r="AS5" s="15"/>
      <c r="AT5" s="15"/>
      <c r="AU5" s="15"/>
      <c r="AV5" s="41"/>
    </row>
    <row r="6" spans="1:48" ht="14.55" customHeight="1" outlineLevel="1" x14ac:dyDescent="0.3">
      <c r="B6" s="435" t="s">
        <v>213</v>
      </c>
      <c r="C6" s="436"/>
      <c r="D6" s="16">
        <f>'BS (Bull-Case)'!D6-'BS (Base-Case)'!D6</f>
        <v>0</v>
      </c>
      <c r="E6" s="16">
        <f>'BS (Bull-Case)'!E6-'BS (Base-Case)'!E6</f>
        <v>0</v>
      </c>
      <c r="F6" s="16">
        <f>'BS (Bull-Case)'!F6-'BS (Base-Case)'!F6</f>
        <v>0</v>
      </c>
      <c r="G6" s="101">
        <f>'BS (Bull-Case)'!G6-'BS (Base-Case)'!G6</f>
        <v>0</v>
      </c>
      <c r="H6" s="17">
        <f>'BS (Bull-Case)'!H6-'BS (Base-Case)'!H6</f>
        <v>0</v>
      </c>
      <c r="I6" s="16">
        <f>'BS (Bull-Case)'!I6-'BS (Base-Case)'!I6</f>
        <v>0</v>
      </c>
      <c r="J6" s="16">
        <f>'BS (Bull-Case)'!J6-'BS (Base-Case)'!J6</f>
        <v>0</v>
      </c>
      <c r="K6" s="16">
        <f>'BS (Bull-Case)'!K6-'BS (Base-Case)'!K6</f>
        <v>0</v>
      </c>
      <c r="L6" s="101">
        <f>'BS (Bull-Case)'!L6-'BS (Base-Case)'!L6</f>
        <v>0</v>
      </c>
      <c r="M6" s="17">
        <f>'BS (Bull-Case)'!M6-'BS (Base-Case)'!M6</f>
        <v>0</v>
      </c>
      <c r="N6" s="16">
        <f>'BS (Bull-Case)'!N6-'BS (Base-Case)'!N6</f>
        <v>0</v>
      </c>
      <c r="O6" s="16">
        <f>'BS (Bull-Case)'!O6-'BS (Base-Case)'!O6</f>
        <v>0</v>
      </c>
      <c r="P6" s="16">
        <f>'BS (Bull-Case)'!P6-'BS (Base-Case)'!P6</f>
        <v>0</v>
      </c>
      <c r="Q6" s="16">
        <f>'BS (Bull-Case)'!Q6-'BS (Base-Case)'!Q6</f>
        <v>0</v>
      </c>
      <c r="R6" s="17">
        <f>'BS (Bull-Case)'!R6-'BS (Base-Case)'!R6</f>
        <v>0</v>
      </c>
      <c r="S6" s="16">
        <f>'BS (Bull-Case)'!S6-'BS (Base-Case)'!S6</f>
        <v>0</v>
      </c>
      <c r="T6" s="16">
        <f>'BS (Bull-Case)'!T6-'BS (Base-Case)'!T6</f>
        <v>0</v>
      </c>
      <c r="U6" s="16">
        <f>'BS (Bull-Case)'!U6-'BS (Base-Case)'!U6</f>
        <v>0</v>
      </c>
      <c r="V6" s="16">
        <f>'BS (Bull-Case)'!V6-'BS (Base-Case)'!V6</f>
        <v>0</v>
      </c>
      <c r="W6" s="17">
        <f>'BS (Bull-Case)'!W6-'BS (Base-Case)'!W6</f>
        <v>0</v>
      </c>
      <c r="X6" s="16">
        <f>'BS (Bull-Case)'!X6-'BS (Base-Case)'!X6</f>
        <v>-2.0607924130154061</v>
      </c>
      <c r="Y6" s="16">
        <f>'BS (Bull-Case)'!Y6-'BS (Base-Case)'!Y6</f>
        <v>8.8114457509518616</v>
      </c>
      <c r="Z6" s="16">
        <f>'BS (Bull-Case)'!Z6-'BS (Base-Case)'!Z6</f>
        <v>21.854222895224666</v>
      </c>
      <c r="AA6" s="16">
        <f>'BS (Bull-Case)'!AA6-'BS (Base-Case)'!AA6</f>
        <v>43.569410890123436</v>
      </c>
      <c r="AB6" s="17">
        <f>'BS (Bull-Case)'!AB6-'BS (Base-Case)'!AB6</f>
        <v>43.569410890123436</v>
      </c>
      <c r="AC6" s="16">
        <f>'BS (Bull-Case)'!AC6-'BS (Base-Case)'!AC6</f>
        <v>71.073481625659952</v>
      </c>
      <c r="AD6" s="16">
        <f>'BS (Bull-Case)'!AD6-'BS (Base-Case)'!AD6</f>
        <v>106.26745973018069</v>
      </c>
      <c r="AE6" s="16">
        <f>'BS (Bull-Case)'!AE6-'BS (Base-Case)'!AE6</f>
        <v>150.64136848705493</v>
      </c>
      <c r="AF6" s="16">
        <f>'BS (Bull-Case)'!AF6-'BS (Base-Case)'!AF6</f>
        <v>201.55040830439157</v>
      </c>
      <c r="AG6" s="17">
        <f>'BS (Bull-Case)'!AG6-'BS (Base-Case)'!AG6</f>
        <v>201.55040830439157</v>
      </c>
      <c r="AH6" s="16">
        <f>'BS (Bull-Case)'!AH6-'BS (Base-Case)'!AH6</f>
        <v>262.27428152967514</v>
      </c>
      <c r="AI6" s="16">
        <f>'BS (Bull-Case)'!AI6-'BS (Base-Case)'!AI6</f>
        <v>326.67705758255852</v>
      </c>
      <c r="AJ6" s="16">
        <f>'BS (Bull-Case)'!AJ6-'BS (Base-Case)'!AJ6</f>
        <v>405.15985358384569</v>
      </c>
      <c r="AK6" s="16">
        <f>'BS (Bull-Case)'!AK6-'BS (Base-Case)'!AK6</f>
        <v>1891.5373271771741</v>
      </c>
      <c r="AL6" s="17">
        <f>'BS (Bull-Case)'!AL6-'BS (Base-Case)'!AL6</f>
        <v>1891.5373271771741</v>
      </c>
      <c r="AM6" s="16">
        <f>'BS (Bull-Case)'!AM6-'BS (Base-Case)'!AM6</f>
        <v>1967.9364368427605</v>
      </c>
      <c r="AN6" s="16">
        <f>'BS (Bull-Case)'!AN6-'BS (Base-Case)'!AN6</f>
        <v>2027.968150603115</v>
      </c>
      <c r="AO6" s="16">
        <f>'BS (Bull-Case)'!AO6-'BS (Base-Case)'!AO6</f>
        <v>2095.8609882056517</v>
      </c>
      <c r="AP6" s="16">
        <f>'BS (Bull-Case)'!AP6-'BS (Base-Case)'!AP6</f>
        <v>2170.8362252211264</v>
      </c>
      <c r="AQ6" s="17">
        <f>'BS (Bull-Case)'!AQ6-'BS (Base-Case)'!AQ6</f>
        <v>2170.8362252211264</v>
      </c>
      <c r="AR6" s="16">
        <f>'BS (Bull-Case)'!AR6-'BS (Base-Case)'!AR6</f>
        <v>2238.7333810179794</v>
      </c>
      <c r="AS6" s="16">
        <f>'BS (Bull-Case)'!AS6-'BS (Base-Case)'!AS6</f>
        <v>2288.5026388513006</v>
      </c>
      <c r="AT6" s="16">
        <f>'BS (Bull-Case)'!AT6-'BS (Base-Case)'!AT6</f>
        <v>2354.7307037355577</v>
      </c>
      <c r="AU6" s="16">
        <f>'BS (Bull-Case)'!AU6-'BS (Base-Case)'!AU6</f>
        <v>2435.0174464591173</v>
      </c>
      <c r="AV6" s="17">
        <f>'BS (Bull-Case)'!AV6-'BS (Base-Case)'!AV6</f>
        <v>2435.0174464591173</v>
      </c>
    </row>
    <row r="7" spans="1:48" ht="14.55" customHeight="1" outlineLevel="1" x14ac:dyDescent="0.3">
      <c r="A7" s="161"/>
      <c r="B7" s="200" t="s">
        <v>214</v>
      </c>
      <c r="C7" s="201"/>
      <c r="D7" s="16">
        <f>'BS (Bull-Case)'!D7-'BS (Base-Case)'!D7</f>
        <v>0</v>
      </c>
      <c r="E7" s="16">
        <f>'BS (Bull-Case)'!E7-'BS (Base-Case)'!E7</f>
        <v>0</v>
      </c>
      <c r="F7" s="16">
        <f>'BS (Bull-Case)'!F7-'BS (Base-Case)'!F7</f>
        <v>0</v>
      </c>
      <c r="G7" s="16">
        <f>'BS (Bull-Case)'!G7-'BS (Base-Case)'!G7</f>
        <v>0</v>
      </c>
      <c r="H7" s="17">
        <f>'BS (Bull-Case)'!H7-'BS (Base-Case)'!H7</f>
        <v>0</v>
      </c>
      <c r="I7" s="16">
        <f>'BS (Bull-Case)'!I7-'BS (Base-Case)'!I7</f>
        <v>0</v>
      </c>
      <c r="J7" s="16">
        <f>'BS (Bull-Case)'!J7-'BS (Base-Case)'!J7</f>
        <v>0</v>
      </c>
      <c r="K7" s="16">
        <f>'BS (Bull-Case)'!K7-'BS (Base-Case)'!K7</f>
        <v>0</v>
      </c>
      <c r="L7" s="16">
        <f>'BS (Bull-Case)'!L7-'BS (Base-Case)'!L7</f>
        <v>0</v>
      </c>
      <c r="M7" s="17">
        <f>'BS (Bull-Case)'!M7-'BS (Base-Case)'!M7</f>
        <v>0</v>
      </c>
      <c r="N7" s="16">
        <f>'BS (Bull-Case)'!N7-'BS (Base-Case)'!N7</f>
        <v>0</v>
      </c>
      <c r="O7" s="16">
        <f>'BS (Bull-Case)'!O7-'BS (Base-Case)'!O7</f>
        <v>0</v>
      </c>
      <c r="P7" s="16">
        <f>'BS (Bull-Case)'!P7-'BS (Base-Case)'!P7</f>
        <v>0</v>
      </c>
      <c r="Q7" s="101">
        <f>'BS (Bull-Case)'!Q7-'BS (Base-Case)'!Q7</f>
        <v>0</v>
      </c>
      <c r="R7" s="17">
        <f>'BS (Bull-Case)'!R7-'BS (Base-Case)'!R7</f>
        <v>0</v>
      </c>
      <c r="S7" s="16">
        <f>'BS (Bull-Case)'!S7-'BS (Base-Case)'!S7</f>
        <v>0</v>
      </c>
      <c r="T7" s="16">
        <f>'BS (Bull-Case)'!T7-'BS (Base-Case)'!T7</f>
        <v>0</v>
      </c>
      <c r="U7" s="16">
        <f>'BS (Bull-Case)'!U7-'BS (Base-Case)'!U7</f>
        <v>0</v>
      </c>
      <c r="V7" s="16">
        <f>'BS (Bull-Case)'!V7-'BS (Base-Case)'!V7</f>
        <v>0</v>
      </c>
      <c r="W7" s="17">
        <f>'BS (Bull-Case)'!W7-'BS (Base-Case)'!W7</f>
        <v>0</v>
      </c>
      <c r="X7" s="16">
        <f>'BS (Bull-Case)'!X7-'BS (Base-Case)'!X7</f>
        <v>8.2172050947249886E-2</v>
      </c>
      <c r="Y7" s="16">
        <f>'BS (Bull-Case)'!Y7-'BS (Base-Case)'!Y7</f>
        <v>0.12134319757325329</v>
      </c>
      <c r="Z7" s="16">
        <f>'BS (Bull-Case)'!Z7-'BS (Base-Case)'!Z7</f>
        <v>0.18332815363278598</v>
      </c>
      <c r="AA7" s="16">
        <f>'BS (Bull-Case)'!AA7-'BS (Base-Case)'!AA7</f>
        <v>0.23582827145645524</v>
      </c>
      <c r="AB7" s="17">
        <f>'BS (Bull-Case)'!AB7-'BS (Base-Case)'!AB7</f>
        <v>0.23582827145645524</v>
      </c>
      <c r="AC7" s="16">
        <f>'BS (Bull-Case)'!AC7-'BS (Base-Case)'!AC7</f>
        <v>0.40252676532729481</v>
      </c>
      <c r="AD7" s="16">
        <f>'BS (Bull-Case)'!AD7-'BS (Base-Case)'!AD7</f>
        <v>0.52595881583606285</v>
      </c>
      <c r="AE7" s="16">
        <f>'BS (Bull-Case)'!AE7-'BS (Base-Case)'!AE7</f>
        <v>0.69049702606359631</v>
      </c>
      <c r="AF7" s="16">
        <f>'BS (Bull-Case)'!AF7-'BS (Base-Case)'!AF7</f>
        <v>0.82581215194427671</v>
      </c>
      <c r="AG7" s="17">
        <f>'BS (Bull-Case)'!AG7-'BS (Base-Case)'!AG7</f>
        <v>0.82581215194427671</v>
      </c>
      <c r="AH7" s="16">
        <f>'BS (Bull-Case)'!AH7-'BS (Base-Case)'!AH7</f>
        <v>1.1139771689222187</v>
      </c>
      <c r="AI7" s="16">
        <f>'BS (Bull-Case)'!AI7-'BS (Base-Case)'!AI7</f>
        <v>1.3426975478145948</v>
      </c>
      <c r="AJ7" s="16">
        <f>'BS (Bull-Case)'!AJ7-'BS (Base-Case)'!AJ7</f>
        <v>1.6382578635674889</v>
      </c>
      <c r="AK7" s="16">
        <f>'BS (Bull-Case)'!AK7-'BS (Base-Case)'!AK7</f>
        <v>6.2912054175985901</v>
      </c>
      <c r="AL7" s="17">
        <f>'BS (Bull-Case)'!AL7-'BS (Base-Case)'!AL7</f>
        <v>6.2912054175985901</v>
      </c>
      <c r="AM7" s="16">
        <f>'BS (Bull-Case)'!AM7-'BS (Base-Case)'!AM7</f>
        <v>6.534015203636983</v>
      </c>
      <c r="AN7" s="16">
        <f>'BS (Bull-Case)'!AN7-'BS (Base-Case)'!AN7</f>
        <v>6.7499495461873238</v>
      </c>
      <c r="AO7" s="16">
        <f>'BS (Bull-Case)'!AO7-'BS (Base-Case)'!AO7</f>
        <v>7.0146453972785707</v>
      </c>
      <c r="AP7" s="16">
        <f>'BS (Bull-Case)'!AP7-'BS (Base-Case)'!AP7</f>
        <v>7.1957465867659636</v>
      </c>
      <c r="AQ7" s="17">
        <f>'BS (Bull-Case)'!AQ7-'BS (Base-Case)'!AQ7</f>
        <v>7.1957465867659636</v>
      </c>
      <c r="AR7" s="16">
        <f>'BS (Bull-Case)'!AR7-'BS (Base-Case)'!AR7</f>
        <v>7.4105135912013935</v>
      </c>
      <c r="AS7" s="16">
        <f>'BS (Bull-Case)'!AS7-'BS (Base-Case)'!AS7</f>
        <v>7.5928495283556998</v>
      </c>
      <c r="AT7" s="16">
        <f>'BS (Bull-Case)'!AT7-'BS (Base-Case)'!AT7</f>
        <v>7.8503223803431865</v>
      </c>
      <c r="AU7" s="16">
        <f>'BS (Bull-Case)'!AU7-'BS (Base-Case)'!AU7</f>
        <v>8.0486393368358478</v>
      </c>
      <c r="AV7" s="17">
        <f>'BS (Bull-Case)'!AV7-'BS (Base-Case)'!AV7</f>
        <v>8.0486393368358478</v>
      </c>
    </row>
    <row r="8" spans="1:48" s="23" customFormat="1" ht="14.55" customHeight="1" outlineLevel="1" x14ac:dyDescent="0.3">
      <c r="A8" s="161"/>
      <c r="B8" s="435" t="s">
        <v>215</v>
      </c>
      <c r="C8" s="436"/>
      <c r="D8" s="16">
        <f>'BS (Bull-Case)'!D8-'BS (Base-Case)'!D8</f>
        <v>0</v>
      </c>
      <c r="E8" s="16">
        <f>'BS (Bull-Case)'!E8-'BS (Base-Case)'!E8</f>
        <v>0</v>
      </c>
      <c r="F8" s="16">
        <f>'BS (Bull-Case)'!F8-'BS (Base-Case)'!F8</f>
        <v>0</v>
      </c>
      <c r="G8" s="16">
        <f>'BS (Bull-Case)'!G8-'BS (Base-Case)'!G8</f>
        <v>0</v>
      </c>
      <c r="H8" s="17">
        <f>'BS (Bull-Case)'!H8-'BS (Base-Case)'!H8</f>
        <v>0</v>
      </c>
      <c r="I8" s="16">
        <f>'BS (Bull-Case)'!I8-'BS (Base-Case)'!I8</f>
        <v>0</v>
      </c>
      <c r="J8" s="16">
        <f>'BS (Bull-Case)'!J8-'BS (Base-Case)'!J8</f>
        <v>0</v>
      </c>
      <c r="K8" s="16">
        <f>'BS (Bull-Case)'!K8-'BS (Base-Case)'!K8</f>
        <v>0</v>
      </c>
      <c r="L8" s="16">
        <f>'BS (Bull-Case)'!L8-'BS (Base-Case)'!L8</f>
        <v>0</v>
      </c>
      <c r="M8" s="17">
        <f>'BS (Bull-Case)'!M8-'BS (Base-Case)'!M8</f>
        <v>0</v>
      </c>
      <c r="N8" s="16">
        <f>'BS (Bull-Case)'!N8-'BS (Base-Case)'!N8</f>
        <v>0</v>
      </c>
      <c r="O8" s="16">
        <f>'BS (Bull-Case)'!O8-'BS (Base-Case)'!O8</f>
        <v>0</v>
      </c>
      <c r="P8" s="16">
        <f>'BS (Bull-Case)'!P8-'BS (Base-Case)'!P8</f>
        <v>0</v>
      </c>
      <c r="Q8" s="101">
        <f>'BS (Bull-Case)'!Q8-'BS (Base-Case)'!Q8</f>
        <v>0</v>
      </c>
      <c r="R8" s="17">
        <f>'BS (Bull-Case)'!R8-'BS (Base-Case)'!R8</f>
        <v>0</v>
      </c>
      <c r="S8" s="16">
        <f>'BS (Bull-Case)'!S8-'BS (Base-Case)'!S8</f>
        <v>0</v>
      </c>
      <c r="T8" s="16">
        <f>'BS (Bull-Case)'!T8-'BS (Base-Case)'!T8</f>
        <v>0</v>
      </c>
      <c r="U8" s="16">
        <f>'BS (Bull-Case)'!U8-'BS (Base-Case)'!U8</f>
        <v>0</v>
      </c>
      <c r="V8" s="16">
        <f>'BS (Bull-Case)'!V8-'BS (Base-Case)'!V8</f>
        <v>0</v>
      </c>
      <c r="W8" s="17">
        <f>'BS (Bull-Case)'!W8-'BS (Base-Case)'!W8</f>
        <v>0</v>
      </c>
      <c r="X8" s="16">
        <f>'BS (Bull-Case)'!X8-'BS (Base-Case)'!X8</f>
        <v>11.417604940947967</v>
      </c>
      <c r="Y8" s="16">
        <f>'BS (Bull-Case)'!Y8-'BS (Base-Case)'!Y8</f>
        <v>11.70096919003322</v>
      </c>
      <c r="Z8" s="16">
        <f>'BS (Bull-Case)'!Z8-'BS (Base-Case)'!Z8</f>
        <v>13.941809915835165</v>
      </c>
      <c r="AA8" s="16">
        <f>'BS (Bull-Case)'!AA8-'BS (Base-Case)'!AA8</f>
        <v>11.700845280074418</v>
      </c>
      <c r="AB8" s="17">
        <f>'BS (Bull-Case)'!AB8-'BS (Base-Case)'!AB8</f>
        <v>11.700845280074418</v>
      </c>
      <c r="AC8" s="16">
        <f>'BS (Bull-Case)'!AC8-'BS (Base-Case)'!AC8</f>
        <v>25.114847570910115</v>
      </c>
      <c r="AD8" s="16">
        <f>'BS (Bull-Case)'!AD8-'BS (Base-Case)'!AD8</f>
        <v>24.746381382294885</v>
      </c>
      <c r="AE8" s="16">
        <f>'BS (Bull-Case)'!AE8-'BS (Base-Case)'!AE8</f>
        <v>27.670575903156077</v>
      </c>
      <c r="AF8" s="16">
        <f>'BS (Bull-Case)'!AF8-'BS (Base-Case)'!AF8</f>
        <v>24.618778899588506</v>
      </c>
      <c r="AG8" s="17">
        <f>'BS (Bull-Case)'!AG8-'BS (Base-Case)'!AG8</f>
        <v>24.618778899588506</v>
      </c>
      <c r="AH8" s="16">
        <f>'BS (Bull-Case)'!AH8-'BS (Base-Case)'!AH8</f>
        <v>41.492341129589704</v>
      </c>
      <c r="AI8" s="16">
        <f>'BS (Bull-Case)'!AI8-'BS (Base-Case)'!AI8</f>
        <v>41.34802230892592</v>
      </c>
      <c r="AJ8" s="16">
        <f>'BS (Bull-Case)'!AJ8-'BS (Base-Case)'!AJ8</f>
        <v>47.786979599537062</v>
      </c>
      <c r="AK8" s="16">
        <f>'BS (Bull-Case)'!AK8-'BS (Base-Case)'!AK8</f>
        <v>41.851265825516975</v>
      </c>
      <c r="AL8" s="17">
        <f>'BS (Bull-Case)'!AL8-'BS (Base-Case)'!AL8</f>
        <v>41.851265825516975</v>
      </c>
      <c r="AM8" s="16">
        <f>'BS (Bull-Case)'!AM8-'BS (Base-Case)'!AM8</f>
        <v>45.141536273370093</v>
      </c>
      <c r="AN8" s="16">
        <f>'BS (Bull-Case)'!AN8-'BS (Base-Case)'!AN8</f>
        <v>45.272073926157418</v>
      </c>
      <c r="AO8" s="16">
        <f>'BS (Bull-Case)'!AO8-'BS (Base-Case)'!AO8</f>
        <v>51.979122869462117</v>
      </c>
      <c r="AP8" s="16">
        <f>'BS (Bull-Case)'!AP8-'BS (Base-Case)'!AP8</f>
        <v>45.179526458991404</v>
      </c>
      <c r="AQ8" s="17">
        <f>'BS (Bull-Case)'!AQ8-'BS (Base-Case)'!AQ8</f>
        <v>45.179526458991404</v>
      </c>
      <c r="AR8" s="16">
        <f>'BS (Bull-Case)'!AR8-'BS (Base-Case)'!AR8</f>
        <v>48.025588943302637</v>
      </c>
      <c r="AS8" s="16">
        <f>'BS (Bull-Case)'!AS8-'BS (Base-Case)'!AS8</f>
        <v>47.775163472327677</v>
      </c>
      <c r="AT8" s="16">
        <f>'BS (Bull-Case)'!AT8-'BS (Base-Case)'!AT8</f>
        <v>54.416926761143031</v>
      </c>
      <c r="AU8" s="16">
        <f>'BS (Bull-Case)'!AU8-'BS (Base-Case)'!AU8</f>
        <v>47.795455297597073</v>
      </c>
      <c r="AV8" s="17">
        <f>'BS (Bull-Case)'!AV8-'BS (Base-Case)'!AV8</f>
        <v>47.795455297597073</v>
      </c>
    </row>
    <row r="9" spans="1:48" s="23" customFormat="1" ht="14.55" customHeight="1" outlineLevel="1" x14ac:dyDescent="0.3">
      <c r="A9" s="161"/>
      <c r="B9" s="200" t="s">
        <v>216</v>
      </c>
      <c r="C9" s="201"/>
      <c r="D9" s="16">
        <f>'BS (Bull-Case)'!D9-'BS (Base-Case)'!D9</f>
        <v>0</v>
      </c>
      <c r="E9" s="16">
        <f>'BS (Bull-Case)'!E9-'BS (Base-Case)'!E9</f>
        <v>0</v>
      </c>
      <c r="F9" s="16">
        <f>'BS (Bull-Case)'!F9-'BS (Base-Case)'!F9</f>
        <v>0</v>
      </c>
      <c r="G9" s="16">
        <f>'BS (Bull-Case)'!G9-'BS (Base-Case)'!G9</f>
        <v>0</v>
      </c>
      <c r="H9" s="17">
        <f>'BS (Bull-Case)'!H9-'BS (Base-Case)'!H9</f>
        <v>0</v>
      </c>
      <c r="I9" s="16">
        <f>'BS (Bull-Case)'!I9-'BS (Base-Case)'!I9</f>
        <v>0</v>
      </c>
      <c r="J9" s="16">
        <f>'BS (Bull-Case)'!J9-'BS (Base-Case)'!J9</f>
        <v>0</v>
      </c>
      <c r="K9" s="16">
        <f>'BS (Bull-Case)'!K9-'BS (Base-Case)'!K9</f>
        <v>0</v>
      </c>
      <c r="L9" s="16">
        <f>'BS (Bull-Case)'!L9-'BS (Base-Case)'!L9</f>
        <v>0</v>
      </c>
      <c r="M9" s="17">
        <f>'BS (Bull-Case)'!M9-'BS (Base-Case)'!M9</f>
        <v>0</v>
      </c>
      <c r="N9" s="16">
        <f>'BS (Bull-Case)'!N9-'BS (Base-Case)'!N9</f>
        <v>0</v>
      </c>
      <c r="O9" s="16">
        <f>'BS (Bull-Case)'!O9-'BS (Base-Case)'!O9</f>
        <v>0</v>
      </c>
      <c r="P9" s="16">
        <f>'BS (Bull-Case)'!P9-'BS (Base-Case)'!P9</f>
        <v>0</v>
      </c>
      <c r="Q9" s="101">
        <f>'BS (Bull-Case)'!Q9-'BS (Base-Case)'!Q9</f>
        <v>0</v>
      </c>
      <c r="R9" s="17">
        <f>'BS (Bull-Case)'!R9-'BS (Base-Case)'!R9</f>
        <v>0</v>
      </c>
      <c r="S9" s="16">
        <f>'BS (Bull-Case)'!S9-'BS (Base-Case)'!S9</f>
        <v>0</v>
      </c>
      <c r="T9" s="16">
        <f>'BS (Bull-Case)'!T9-'BS (Base-Case)'!T9</f>
        <v>0</v>
      </c>
      <c r="U9" s="16">
        <f>'BS (Bull-Case)'!U9-'BS (Base-Case)'!U9</f>
        <v>0</v>
      </c>
      <c r="V9" s="16">
        <f>'BS (Bull-Case)'!V9-'BS (Base-Case)'!V9</f>
        <v>0</v>
      </c>
      <c r="W9" s="17">
        <f>'BS (Bull-Case)'!W9-'BS (Base-Case)'!W9</f>
        <v>0</v>
      </c>
      <c r="X9" s="16">
        <f>'BS (Bull-Case)'!X9-'BS (Base-Case)'!X9</f>
        <v>16.954732241472129</v>
      </c>
      <c r="Y9" s="16">
        <f>'BS (Bull-Case)'!Y9-'BS (Base-Case)'!Y9</f>
        <v>18.518021202200089</v>
      </c>
      <c r="Z9" s="16">
        <f>'BS (Bull-Case)'!Z9-'BS (Base-Case)'!Z9</f>
        <v>22.319099474625091</v>
      </c>
      <c r="AA9" s="16">
        <f>'BS (Bull-Case)'!AA9-'BS (Base-Case)'!AA9</f>
        <v>17.9439646362448</v>
      </c>
      <c r="AB9" s="17">
        <f>'BS (Bull-Case)'!AB9-'BS (Base-Case)'!AB9</f>
        <v>17.9439646362448</v>
      </c>
      <c r="AC9" s="16">
        <f>'BS (Bull-Case)'!AC9-'BS (Base-Case)'!AC9</f>
        <v>31.806311842395189</v>
      </c>
      <c r="AD9" s="16">
        <f>'BS (Bull-Case)'!AD9-'BS (Base-Case)'!AD9</f>
        <v>35.642828739580182</v>
      </c>
      <c r="AE9" s="16">
        <f>'BS (Bull-Case)'!AE9-'BS (Base-Case)'!AE9</f>
        <v>39.422431932883228</v>
      </c>
      <c r="AF9" s="16">
        <f>'BS (Bull-Case)'!AF9-'BS (Base-Case)'!AF9</f>
        <v>34.295788860501489</v>
      </c>
      <c r="AG9" s="17">
        <f>'BS (Bull-Case)'!AG9-'BS (Base-Case)'!AG9</f>
        <v>34.295788860501489</v>
      </c>
      <c r="AH9" s="16">
        <f>'BS (Bull-Case)'!AH9-'BS (Base-Case)'!AH9</f>
        <v>48.898360443301499</v>
      </c>
      <c r="AI9" s="16">
        <f>'BS (Bull-Case)'!AI9-'BS (Base-Case)'!AI9</f>
        <v>56.321267272308432</v>
      </c>
      <c r="AJ9" s="16">
        <f>'BS (Bull-Case)'!AJ9-'BS (Base-Case)'!AJ9</f>
        <v>64.193065178751112</v>
      </c>
      <c r="AK9" s="16">
        <f>'BS (Bull-Case)'!AK9-'BS (Base-Case)'!AK9</f>
        <v>55.049786884716468</v>
      </c>
      <c r="AL9" s="17">
        <f>'BS (Bull-Case)'!AL9-'BS (Base-Case)'!AL9</f>
        <v>55.049786884716468</v>
      </c>
      <c r="AM9" s="16">
        <f>'BS (Bull-Case)'!AM9-'BS (Base-Case)'!AM9</f>
        <v>53.463770738670974</v>
      </c>
      <c r="AN9" s="16">
        <f>'BS (Bull-Case)'!AN9-'BS (Base-Case)'!AN9</f>
        <v>60.831010175812935</v>
      </c>
      <c r="AO9" s="16">
        <f>'BS (Bull-Case)'!AO9-'BS (Base-Case)'!AO9</f>
        <v>69.476789209469189</v>
      </c>
      <c r="AP9" s="16">
        <f>'BS (Bull-Case)'!AP9-'BS (Base-Case)'!AP9</f>
        <v>59.47107770217599</v>
      </c>
      <c r="AQ9" s="17">
        <f>'BS (Bull-Case)'!AQ9-'BS (Base-Case)'!AQ9</f>
        <v>59.47107770217599</v>
      </c>
      <c r="AR9" s="16">
        <f>'BS (Bull-Case)'!AR9-'BS (Base-Case)'!AR9</f>
        <v>56.970352659369382</v>
      </c>
      <c r="AS9" s="16">
        <f>'BS (Bull-Case)'!AS9-'BS (Base-Case)'!AS9</f>
        <v>64.800319958570071</v>
      </c>
      <c r="AT9" s="16">
        <f>'BS (Bull-Case)'!AT9-'BS (Base-Case)'!AT9</f>
        <v>73.048641753544416</v>
      </c>
      <c r="AU9" s="16">
        <f>'BS (Bull-Case)'!AU9-'BS (Base-Case)'!AU9</f>
        <v>62.924417163286762</v>
      </c>
      <c r="AV9" s="17">
        <f>'BS (Bull-Case)'!AV9-'BS (Base-Case)'!AV9</f>
        <v>62.924417163286762</v>
      </c>
    </row>
    <row r="10" spans="1:48" ht="16.2" customHeight="1" outlineLevel="1" x14ac:dyDescent="0.45">
      <c r="A10" s="161"/>
      <c r="B10" s="435" t="s">
        <v>217</v>
      </c>
      <c r="C10" s="436"/>
      <c r="D10" s="260">
        <f>'BS (Bull-Case)'!D10-'BS (Base-Case)'!D10</f>
        <v>0</v>
      </c>
      <c r="E10" s="112">
        <f>'BS (Bull-Case)'!E10-'BS (Base-Case)'!E10</f>
        <v>0</v>
      </c>
      <c r="F10" s="112">
        <f>'BS (Bull-Case)'!F10-'BS (Base-Case)'!F10</f>
        <v>0</v>
      </c>
      <c r="G10" s="112">
        <f>'BS (Bull-Case)'!G10-'BS (Base-Case)'!G10</f>
        <v>0</v>
      </c>
      <c r="H10" s="261">
        <f>'BS (Bull-Case)'!H10-'BS (Base-Case)'!H10</f>
        <v>0</v>
      </c>
      <c r="I10" s="112">
        <f>'BS (Bull-Case)'!I10-'BS (Base-Case)'!I10</f>
        <v>0</v>
      </c>
      <c r="J10" s="112">
        <f>'BS (Bull-Case)'!J10-'BS (Base-Case)'!J10</f>
        <v>0</v>
      </c>
      <c r="K10" s="112">
        <f>'BS (Bull-Case)'!K10-'BS (Base-Case)'!K10</f>
        <v>0</v>
      </c>
      <c r="L10" s="112">
        <f>'BS (Bull-Case)'!L10-'BS (Base-Case)'!L10</f>
        <v>0</v>
      </c>
      <c r="M10" s="261">
        <f>'BS (Bull-Case)'!M10-'BS (Base-Case)'!M10</f>
        <v>0</v>
      </c>
      <c r="N10" s="112">
        <f>'BS (Bull-Case)'!N10-'BS (Base-Case)'!N10</f>
        <v>0</v>
      </c>
      <c r="O10" s="112">
        <f>'BS (Bull-Case)'!O10-'BS (Base-Case)'!O10</f>
        <v>0</v>
      </c>
      <c r="P10" s="112">
        <f>'BS (Bull-Case)'!P10-'BS (Base-Case)'!P10</f>
        <v>0</v>
      </c>
      <c r="Q10" s="112">
        <f>'BS (Bull-Case)'!Q10-'BS (Base-Case)'!Q10</f>
        <v>0</v>
      </c>
      <c r="R10" s="261">
        <f>'BS (Bull-Case)'!R10-'BS (Base-Case)'!R10</f>
        <v>0</v>
      </c>
      <c r="S10" s="112">
        <f>'BS (Bull-Case)'!S10-'BS (Base-Case)'!S10</f>
        <v>0</v>
      </c>
      <c r="T10" s="112">
        <f>'BS (Bull-Case)'!T10-'BS (Base-Case)'!T10</f>
        <v>0</v>
      </c>
      <c r="U10" s="112">
        <f>'BS (Bull-Case)'!U10-'BS (Base-Case)'!U10</f>
        <v>0</v>
      </c>
      <c r="V10" s="32">
        <f>'BS (Bull-Case)'!V10-'BS (Base-Case)'!V10</f>
        <v>0</v>
      </c>
      <c r="W10" s="261">
        <f>'BS (Bull-Case)'!W10-'BS (Base-Case)'!W10</f>
        <v>0</v>
      </c>
      <c r="X10" s="32">
        <f>'BS (Bull-Case)'!X10-'BS (Base-Case)'!X10</f>
        <v>0</v>
      </c>
      <c r="Y10" s="32">
        <f>'BS (Bull-Case)'!Y10-'BS (Base-Case)'!Y10</f>
        <v>0</v>
      </c>
      <c r="Z10" s="32">
        <f>'BS (Bull-Case)'!Z10-'BS (Base-Case)'!Z10</f>
        <v>0</v>
      </c>
      <c r="AA10" s="32">
        <f>'BS (Bull-Case)'!AA10-'BS (Base-Case)'!AA10</f>
        <v>0</v>
      </c>
      <c r="AB10" s="261">
        <f>'BS (Bull-Case)'!AB10-'BS (Base-Case)'!AB10</f>
        <v>0</v>
      </c>
      <c r="AC10" s="32">
        <f>'BS (Bull-Case)'!AC10-'BS (Base-Case)'!AC10</f>
        <v>0</v>
      </c>
      <c r="AD10" s="32">
        <f>'BS (Bull-Case)'!AD10-'BS (Base-Case)'!AD10</f>
        <v>0</v>
      </c>
      <c r="AE10" s="32">
        <f>'BS (Bull-Case)'!AE10-'BS (Base-Case)'!AE10</f>
        <v>0</v>
      </c>
      <c r="AF10" s="32">
        <f>'BS (Bull-Case)'!AF10-'BS (Base-Case)'!AF10</f>
        <v>0</v>
      </c>
      <c r="AG10" s="261">
        <f>'BS (Bull-Case)'!AG10-'BS (Base-Case)'!AG10</f>
        <v>0</v>
      </c>
      <c r="AH10" s="32">
        <f>'BS (Bull-Case)'!AH10-'BS (Base-Case)'!AH10</f>
        <v>0</v>
      </c>
      <c r="AI10" s="32">
        <f>'BS (Bull-Case)'!AI10-'BS (Base-Case)'!AI10</f>
        <v>0</v>
      </c>
      <c r="AJ10" s="32">
        <f>'BS (Bull-Case)'!AJ10-'BS (Base-Case)'!AJ10</f>
        <v>0</v>
      </c>
      <c r="AK10" s="32">
        <f>'BS (Bull-Case)'!AK10-'BS (Base-Case)'!AK10</f>
        <v>0</v>
      </c>
      <c r="AL10" s="261">
        <f>'BS (Bull-Case)'!AL10-'BS (Base-Case)'!AL10</f>
        <v>0</v>
      </c>
      <c r="AM10" s="32">
        <f>'BS (Bull-Case)'!AM10-'BS (Base-Case)'!AM10</f>
        <v>0</v>
      </c>
      <c r="AN10" s="32">
        <f>'BS (Bull-Case)'!AN10-'BS (Base-Case)'!AN10</f>
        <v>0</v>
      </c>
      <c r="AO10" s="32">
        <f>'BS (Bull-Case)'!AO10-'BS (Base-Case)'!AO10</f>
        <v>0</v>
      </c>
      <c r="AP10" s="32">
        <f>'BS (Bull-Case)'!AP10-'BS (Base-Case)'!AP10</f>
        <v>0</v>
      </c>
      <c r="AQ10" s="261">
        <f>'BS (Bull-Case)'!AQ10-'BS (Base-Case)'!AQ10</f>
        <v>0</v>
      </c>
      <c r="AR10" s="32">
        <f>'BS (Bull-Case)'!AR10-'BS (Base-Case)'!AR10</f>
        <v>0</v>
      </c>
      <c r="AS10" s="32">
        <f>'BS (Bull-Case)'!AS10-'BS (Base-Case)'!AS10</f>
        <v>0</v>
      </c>
      <c r="AT10" s="32">
        <f>'BS (Bull-Case)'!AT10-'BS (Base-Case)'!AT10</f>
        <v>0</v>
      </c>
      <c r="AU10" s="32">
        <f>'BS (Bull-Case)'!AU10-'BS (Base-Case)'!AU10</f>
        <v>0</v>
      </c>
      <c r="AV10" s="261">
        <f>'BS (Bull-Case)'!AV10-'BS (Base-Case)'!AV10</f>
        <v>0</v>
      </c>
    </row>
    <row r="11" spans="1:48" ht="14.55" customHeight="1" outlineLevel="1" x14ac:dyDescent="0.3">
      <c r="A11" s="161"/>
      <c r="B11" s="205" t="s">
        <v>218</v>
      </c>
      <c r="C11" s="206"/>
      <c r="D11" s="21">
        <f>'BS (Bull-Case)'!D11-'BS (Base-Case)'!D11</f>
        <v>0</v>
      </c>
      <c r="E11" s="21">
        <f>'BS (Bull-Case)'!E11-'BS (Base-Case)'!E11</f>
        <v>0</v>
      </c>
      <c r="F11" s="21">
        <f>'BS (Bull-Case)'!F11-'BS (Base-Case)'!F11</f>
        <v>0</v>
      </c>
      <c r="G11" s="21">
        <f>'BS (Bull-Case)'!G11-'BS (Base-Case)'!G11</f>
        <v>0</v>
      </c>
      <c r="H11" s="22">
        <f>'BS (Bull-Case)'!H11-'BS (Base-Case)'!H11</f>
        <v>0</v>
      </c>
      <c r="I11" s="21">
        <f>'BS (Bull-Case)'!I11-'BS (Base-Case)'!I11</f>
        <v>0</v>
      </c>
      <c r="J11" s="21">
        <f>'BS (Bull-Case)'!J11-'BS (Base-Case)'!J11</f>
        <v>0</v>
      </c>
      <c r="K11" s="21">
        <f>'BS (Bull-Case)'!K11-'BS (Base-Case)'!K11</f>
        <v>0</v>
      </c>
      <c r="L11" s="116">
        <f>'BS (Bull-Case)'!L11-'BS (Base-Case)'!L11</f>
        <v>0</v>
      </c>
      <c r="M11" s="22">
        <f>'BS (Bull-Case)'!M11-'BS (Base-Case)'!M11</f>
        <v>0</v>
      </c>
      <c r="N11" s="21">
        <f>'BS (Bull-Case)'!N11-'BS (Base-Case)'!N11</f>
        <v>0</v>
      </c>
      <c r="O11" s="21">
        <f>'BS (Bull-Case)'!O11-'BS (Base-Case)'!O11</f>
        <v>0</v>
      </c>
      <c r="P11" s="21">
        <f>'BS (Bull-Case)'!P11-'BS (Base-Case)'!P11</f>
        <v>0</v>
      </c>
      <c r="Q11" s="116">
        <f>'BS (Bull-Case)'!Q11-'BS (Base-Case)'!Q11</f>
        <v>0</v>
      </c>
      <c r="R11" s="22">
        <f>'BS (Bull-Case)'!R11-'BS (Base-Case)'!R11</f>
        <v>0</v>
      </c>
      <c r="S11" s="21">
        <f>'BS (Bull-Case)'!S11-'BS (Base-Case)'!S11</f>
        <v>0</v>
      </c>
      <c r="T11" s="21">
        <f>'BS (Bull-Case)'!T11-'BS (Base-Case)'!T11</f>
        <v>0</v>
      </c>
      <c r="U11" s="21">
        <f>'BS (Bull-Case)'!U11-'BS (Base-Case)'!U11</f>
        <v>0</v>
      </c>
      <c r="V11" s="21">
        <f>'BS (Bull-Case)'!V11-'BS (Base-Case)'!V11</f>
        <v>0</v>
      </c>
      <c r="W11" s="22">
        <f>'BS (Bull-Case)'!W11-'BS (Base-Case)'!W11</f>
        <v>0</v>
      </c>
      <c r="X11" s="21">
        <f>'BS (Bull-Case)'!X11-'BS (Base-Case)'!X11</f>
        <v>26.393716820351983</v>
      </c>
      <c r="Y11" s="21">
        <f>'BS (Bull-Case)'!Y11-'BS (Base-Case)'!Y11</f>
        <v>39.151779340758367</v>
      </c>
      <c r="Z11" s="21">
        <f>'BS (Bull-Case)'!Z11-'BS (Base-Case)'!Z11</f>
        <v>58.298460439317751</v>
      </c>
      <c r="AA11" s="21">
        <f>'BS (Bull-Case)'!AA11-'BS (Base-Case)'!AA11</f>
        <v>73.450049077899166</v>
      </c>
      <c r="AB11" s="22">
        <f>'BS (Bull-Case)'!AB11-'BS (Base-Case)'!AB11</f>
        <v>73.450049077899166</v>
      </c>
      <c r="AC11" s="21">
        <f>'BS (Bull-Case)'!AC11-'BS (Base-Case)'!AC11</f>
        <v>128.39716780429262</v>
      </c>
      <c r="AD11" s="21">
        <f>'BS (Bull-Case)'!AD11-'BS (Base-Case)'!AD11</f>
        <v>167.18262866789155</v>
      </c>
      <c r="AE11" s="21">
        <f>'BS (Bull-Case)'!AE11-'BS (Base-Case)'!AE11</f>
        <v>218.42487334915859</v>
      </c>
      <c r="AF11" s="21">
        <f>'BS (Bull-Case)'!AF11-'BS (Base-Case)'!AF11</f>
        <v>261.29078821642543</v>
      </c>
      <c r="AG11" s="22">
        <f>'BS (Bull-Case)'!AG11-'BS (Base-Case)'!AG11</f>
        <v>261.29078821642543</v>
      </c>
      <c r="AH11" s="21">
        <f>'BS (Bull-Case)'!AH11-'BS (Base-Case)'!AH11</f>
        <v>353.77896027148927</v>
      </c>
      <c r="AI11" s="21">
        <f>'BS (Bull-Case)'!AI11-'BS (Base-Case)'!AI11</f>
        <v>425.68904471160749</v>
      </c>
      <c r="AJ11" s="21">
        <f>'BS (Bull-Case)'!AJ11-'BS (Base-Case)'!AJ11</f>
        <v>518.77815622570051</v>
      </c>
      <c r="AK11" s="21">
        <f>'BS (Bull-Case)'!AK11-'BS (Base-Case)'!AK11</f>
        <v>1994.7295853050073</v>
      </c>
      <c r="AL11" s="22">
        <f>'BS (Bull-Case)'!AL11-'BS (Base-Case)'!AL11</f>
        <v>1994.7295853050073</v>
      </c>
      <c r="AM11" s="21">
        <f>'BS (Bull-Case)'!AM11-'BS (Base-Case)'!AM11</f>
        <v>2073.0757590584371</v>
      </c>
      <c r="AN11" s="21">
        <f>'BS (Bull-Case)'!AN11-'BS (Base-Case)'!AN11</f>
        <v>2140.8211842512728</v>
      </c>
      <c r="AO11" s="21">
        <f>'BS (Bull-Case)'!AO11-'BS (Base-Case)'!AO11</f>
        <v>2224.3315456818618</v>
      </c>
      <c r="AP11" s="21">
        <f>'BS (Bull-Case)'!AP11-'BS (Base-Case)'!AP11</f>
        <v>2282.6825759690591</v>
      </c>
      <c r="AQ11" s="22">
        <f>'BS (Bull-Case)'!AQ11-'BS (Base-Case)'!AQ11</f>
        <v>2282.6825759690591</v>
      </c>
      <c r="AR11" s="21">
        <f>'BS (Bull-Case)'!AR11-'BS (Base-Case)'!AR11</f>
        <v>2351.1398362118525</v>
      </c>
      <c r="AS11" s="21">
        <f>'BS (Bull-Case)'!AS11-'BS (Base-Case)'!AS11</f>
        <v>2408.670971810554</v>
      </c>
      <c r="AT11" s="21">
        <f>'BS (Bull-Case)'!AT11-'BS (Base-Case)'!AT11</f>
        <v>2490.0465946305903</v>
      </c>
      <c r="AU11" s="21">
        <f>'BS (Bull-Case)'!AU11-'BS (Base-Case)'!AU11</f>
        <v>2553.7859582568362</v>
      </c>
      <c r="AV11" s="22">
        <f>'BS (Bull-Case)'!AV11-'BS (Base-Case)'!AV11</f>
        <v>2553.7859582568362</v>
      </c>
    </row>
    <row r="12" spans="1:48" ht="14.55" customHeight="1" outlineLevel="1" x14ac:dyDescent="0.3">
      <c r="A12" s="161"/>
      <c r="B12" s="200" t="s">
        <v>219</v>
      </c>
      <c r="C12" s="207"/>
      <c r="D12" s="16">
        <f>'BS (Bull-Case)'!D12-'BS (Base-Case)'!D12</f>
        <v>0</v>
      </c>
      <c r="E12" s="16">
        <f>'BS (Bull-Case)'!E12-'BS (Base-Case)'!E12</f>
        <v>0</v>
      </c>
      <c r="F12" s="16">
        <f>'BS (Bull-Case)'!F12-'BS (Base-Case)'!F12</f>
        <v>0</v>
      </c>
      <c r="G12" s="16">
        <f>'BS (Bull-Case)'!G12-'BS (Base-Case)'!G12</f>
        <v>0</v>
      </c>
      <c r="H12" s="17">
        <f>'BS (Bull-Case)'!H12-'BS (Base-Case)'!H12</f>
        <v>0</v>
      </c>
      <c r="I12" s="16">
        <f>'BS (Bull-Case)'!I12-'BS (Base-Case)'!I12</f>
        <v>0</v>
      </c>
      <c r="J12" s="16">
        <f>'BS (Bull-Case)'!J12-'BS (Base-Case)'!J12</f>
        <v>0</v>
      </c>
      <c r="K12" s="16">
        <f>'BS (Bull-Case)'!K12-'BS (Base-Case)'!K12</f>
        <v>0</v>
      </c>
      <c r="L12" s="101">
        <f>'BS (Bull-Case)'!L12-'BS (Base-Case)'!L12</f>
        <v>0</v>
      </c>
      <c r="M12" s="17">
        <f>'BS (Bull-Case)'!M12-'BS (Base-Case)'!M12</f>
        <v>0</v>
      </c>
      <c r="N12" s="16">
        <f>'BS (Bull-Case)'!N12-'BS (Base-Case)'!N12</f>
        <v>0</v>
      </c>
      <c r="O12" s="16">
        <f>'BS (Bull-Case)'!O12-'BS (Base-Case)'!O12</f>
        <v>0</v>
      </c>
      <c r="P12" s="16">
        <f>'BS (Bull-Case)'!P12-'BS (Base-Case)'!P12</f>
        <v>0</v>
      </c>
      <c r="Q12" s="101">
        <f>'BS (Bull-Case)'!Q12-'BS (Base-Case)'!Q12</f>
        <v>0</v>
      </c>
      <c r="R12" s="17">
        <f>'BS (Bull-Case)'!R12-'BS (Base-Case)'!R12</f>
        <v>0</v>
      </c>
      <c r="S12" s="16">
        <f>'BS (Bull-Case)'!S12-'BS (Base-Case)'!S12</f>
        <v>0</v>
      </c>
      <c r="T12" s="16">
        <f>'BS (Bull-Case)'!T12-'BS (Base-Case)'!T12</f>
        <v>0</v>
      </c>
      <c r="U12" s="16">
        <f>'BS (Bull-Case)'!U12-'BS (Base-Case)'!U12</f>
        <v>0</v>
      </c>
      <c r="V12" s="16">
        <f>'BS (Bull-Case)'!V12-'BS (Base-Case)'!V12</f>
        <v>0</v>
      </c>
      <c r="W12" s="17">
        <f>'BS (Bull-Case)'!W12-'BS (Base-Case)'!W12</f>
        <v>0</v>
      </c>
      <c r="X12" s="16">
        <f>'BS (Bull-Case)'!X12-'BS (Base-Case)'!X12</f>
        <v>0.27784946287908951</v>
      </c>
      <c r="Y12" s="16">
        <f>'BS (Bull-Case)'!Y12-'BS (Base-Case)'!Y12</f>
        <v>0.40890416585932599</v>
      </c>
      <c r="Z12" s="16">
        <f>'BS (Bull-Case)'!Z12-'BS (Base-Case)'!Z12</f>
        <v>0.61294302031785719</v>
      </c>
      <c r="AA12" s="16">
        <f>'BS (Bull-Case)'!AA12-'BS (Base-Case)'!AA12</f>
        <v>0.7645131106208396</v>
      </c>
      <c r="AB12" s="17">
        <f>'BS (Bull-Case)'!AB12-'BS (Base-Case)'!AB12</f>
        <v>0.7645131106208396</v>
      </c>
      <c r="AC12" s="16">
        <f>'BS (Bull-Case)'!AC12-'BS (Base-Case)'!AC12</f>
        <v>1.3417769245157842</v>
      </c>
      <c r="AD12" s="16">
        <f>'BS (Bull-Case)'!AD12-'BS (Base-Case)'!AD12</f>
        <v>1.7470074619001821</v>
      </c>
      <c r="AE12" s="16">
        <f>'BS (Bull-Case)'!AE12-'BS (Base-Case)'!AE12</f>
        <v>2.2853179659778107</v>
      </c>
      <c r="AF12" s="16">
        <f>'BS (Bull-Case)'!AF12-'BS (Base-Case)'!AF12</f>
        <v>2.7262664594808825</v>
      </c>
      <c r="AG12" s="17">
        <f>'BS (Bull-Case)'!AG12-'BS (Base-Case)'!AG12</f>
        <v>2.7262664594808825</v>
      </c>
      <c r="AH12" s="16">
        <f>'BS (Bull-Case)'!AH12-'BS (Base-Case)'!AH12</f>
        <v>3.6944504036116541</v>
      </c>
      <c r="AI12" s="16">
        <f>'BS (Bull-Case)'!AI12-'BS (Base-Case)'!AI12</f>
        <v>4.447333414402749</v>
      </c>
      <c r="AJ12" s="16">
        <f>'BS (Bull-Case)'!AJ12-'BS (Base-Case)'!AJ12</f>
        <v>5.4224887658423881</v>
      </c>
      <c r="AK12" s="16">
        <f>'BS (Bull-Case)'!AK12-'BS (Base-Case)'!AK12</f>
        <v>20.823712555594</v>
      </c>
      <c r="AL12" s="17">
        <f>'BS (Bull-Case)'!AL12-'BS (Base-Case)'!AL12</f>
        <v>20.823712555594</v>
      </c>
      <c r="AM12" s="16">
        <f>'BS (Bull-Case)'!AM12-'BS (Base-Case)'!AM12</f>
        <v>21.641581794041144</v>
      </c>
      <c r="AN12" s="16">
        <f>'BS (Bull-Case)'!AN12-'BS (Base-Case)'!AN12</f>
        <v>22.349523852773473</v>
      </c>
      <c r="AO12" s="16">
        <f>'BS (Bull-Case)'!AO12-'BS (Base-Case)'!AO12</f>
        <v>23.223893876658622</v>
      </c>
      <c r="AP12" s="16">
        <f>'BS (Bull-Case)'!AP12-'BS (Base-Case)'!AP12</f>
        <v>23.825027401091347</v>
      </c>
      <c r="AQ12" s="17">
        <f>'BS (Bull-Case)'!AQ12-'BS (Base-Case)'!AQ12</f>
        <v>23.825027401091347</v>
      </c>
      <c r="AR12" s="16">
        <f>'BS (Bull-Case)'!AR12-'BS (Base-Case)'!AR12</f>
        <v>24.538000641523865</v>
      </c>
      <c r="AS12" s="16">
        <f>'BS (Bull-Case)'!AS12-'BS (Base-Case)'!AS12</f>
        <v>25.140051485223637</v>
      </c>
      <c r="AT12" s="16">
        <f>'BS (Bull-Case)'!AT12-'BS (Base-Case)'!AT12</f>
        <v>25.992452948687912</v>
      </c>
      <c r="AU12" s="16">
        <f>'BS (Bull-Case)'!AU12-'BS (Base-Case)'!AU12</f>
        <v>26.649548543575747</v>
      </c>
      <c r="AV12" s="17">
        <f>'BS (Bull-Case)'!AV12-'BS (Base-Case)'!AV12</f>
        <v>26.649548543575747</v>
      </c>
    </row>
    <row r="13" spans="1:48" ht="14.55" customHeight="1" outlineLevel="1" x14ac:dyDescent="0.3">
      <c r="A13" s="161"/>
      <c r="B13" s="200" t="s">
        <v>220</v>
      </c>
      <c r="C13" s="207"/>
      <c r="D13" s="16">
        <f>'BS (Bull-Case)'!D13-'BS (Base-Case)'!D13</f>
        <v>0</v>
      </c>
      <c r="E13" s="16">
        <f>'BS (Bull-Case)'!E13-'BS (Base-Case)'!E13</f>
        <v>0</v>
      </c>
      <c r="F13" s="16">
        <f>'BS (Bull-Case)'!F13-'BS (Base-Case)'!F13</f>
        <v>0</v>
      </c>
      <c r="G13" s="16">
        <f>'BS (Bull-Case)'!G13-'BS (Base-Case)'!G13</f>
        <v>0</v>
      </c>
      <c r="H13" s="17">
        <f>'BS (Bull-Case)'!H13-'BS (Base-Case)'!H13</f>
        <v>0</v>
      </c>
      <c r="I13" s="16">
        <f>'BS (Bull-Case)'!I13-'BS (Base-Case)'!I13</f>
        <v>0</v>
      </c>
      <c r="J13" s="16">
        <f>'BS (Bull-Case)'!J13-'BS (Base-Case)'!J13</f>
        <v>0</v>
      </c>
      <c r="K13" s="16">
        <f>'BS (Bull-Case)'!K13-'BS (Base-Case)'!K13</f>
        <v>0</v>
      </c>
      <c r="L13" s="101">
        <f>'BS (Bull-Case)'!L13-'BS (Base-Case)'!L13</f>
        <v>0</v>
      </c>
      <c r="M13" s="17">
        <f>'BS (Bull-Case)'!M13-'BS (Base-Case)'!M13</f>
        <v>0</v>
      </c>
      <c r="N13" s="16">
        <f>'BS (Bull-Case)'!N13-'BS (Base-Case)'!N13</f>
        <v>0</v>
      </c>
      <c r="O13" s="16">
        <f>'BS (Bull-Case)'!O13-'BS (Base-Case)'!O13</f>
        <v>0</v>
      </c>
      <c r="P13" s="16">
        <f>'BS (Bull-Case)'!P13-'BS (Base-Case)'!P13</f>
        <v>0</v>
      </c>
      <c r="Q13" s="101">
        <f>'BS (Bull-Case)'!Q13-'BS (Base-Case)'!Q13</f>
        <v>0</v>
      </c>
      <c r="R13" s="17">
        <f>'BS (Bull-Case)'!R13-'BS (Base-Case)'!R13</f>
        <v>0</v>
      </c>
      <c r="S13" s="16">
        <f>'BS (Bull-Case)'!S13-'BS (Base-Case)'!S13</f>
        <v>0</v>
      </c>
      <c r="T13" s="16">
        <f>'BS (Bull-Case)'!T13-'BS (Base-Case)'!T13</f>
        <v>0</v>
      </c>
      <c r="U13" s="16">
        <f>'BS (Bull-Case)'!U13-'BS (Base-Case)'!U13</f>
        <v>0</v>
      </c>
      <c r="V13" s="33">
        <f>'BS (Bull-Case)'!V13-'BS (Base-Case)'!V13</f>
        <v>0</v>
      </c>
      <c r="W13" s="17">
        <f>'BS (Bull-Case)'!W13-'BS (Base-Case)'!W13</f>
        <v>0</v>
      </c>
      <c r="X13" s="33">
        <f>'BS (Bull-Case)'!X13-'BS (Base-Case)'!X13</f>
        <v>0</v>
      </c>
      <c r="Y13" s="33">
        <f>'BS (Bull-Case)'!Y13-'BS (Base-Case)'!Y13</f>
        <v>0</v>
      </c>
      <c r="Z13" s="33">
        <f>'BS (Bull-Case)'!Z13-'BS (Base-Case)'!Z13</f>
        <v>0</v>
      </c>
      <c r="AA13" s="33">
        <f>'BS (Bull-Case)'!AA13-'BS (Base-Case)'!AA13</f>
        <v>0</v>
      </c>
      <c r="AB13" s="17">
        <f>'BS (Bull-Case)'!AB13-'BS (Base-Case)'!AB13</f>
        <v>0</v>
      </c>
      <c r="AC13" s="33">
        <f>'BS (Bull-Case)'!AC13-'BS (Base-Case)'!AC13</f>
        <v>0</v>
      </c>
      <c r="AD13" s="33">
        <f>'BS (Bull-Case)'!AD13-'BS (Base-Case)'!AD13</f>
        <v>0</v>
      </c>
      <c r="AE13" s="33">
        <f>'BS (Bull-Case)'!AE13-'BS (Base-Case)'!AE13</f>
        <v>0</v>
      </c>
      <c r="AF13" s="33">
        <f>'BS (Bull-Case)'!AF13-'BS (Base-Case)'!AF13</f>
        <v>0</v>
      </c>
      <c r="AG13" s="17">
        <f>'BS (Bull-Case)'!AG13-'BS (Base-Case)'!AG13</f>
        <v>0</v>
      </c>
      <c r="AH13" s="33">
        <f>'BS (Bull-Case)'!AH13-'BS (Base-Case)'!AH13</f>
        <v>0</v>
      </c>
      <c r="AI13" s="33">
        <f>'BS (Bull-Case)'!AI13-'BS (Base-Case)'!AI13</f>
        <v>0</v>
      </c>
      <c r="AJ13" s="33">
        <f>'BS (Bull-Case)'!AJ13-'BS (Base-Case)'!AJ13</f>
        <v>0</v>
      </c>
      <c r="AK13" s="33">
        <f>'BS (Bull-Case)'!AK13-'BS (Base-Case)'!AK13</f>
        <v>0</v>
      </c>
      <c r="AL13" s="17">
        <f>'BS (Bull-Case)'!AL13-'BS (Base-Case)'!AL13</f>
        <v>0</v>
      </c>
      <c r="AM13" s="33">
        <f>'BS (Bull-Case)'!AM13-'BS (Base-Case)'!AM13</f>
        <v>0</v>
      </c>
      <c r="AN13" s="33">
        <f>'BS (Bull-Case)'!AN13-'BS (Base-Case)'!AN13</f>
        <v>0</v>
      </c>
      <c r="AO13" s="33">
        <f>'BS (Bull-Case)'!AO13-'BS (Base-Case)'!AO13</f>
        <v>0</v>
      </c>
      <c r="AP13" s="33">
        <f>'BS (Bull-Case)'!AP13-'BS (Base-Case)'!AP13</f>
        <v>0</v>
      </c>
      <c r="AQ13" s="17">
        <f>'BS (Bull-Case)'!AQ13-'BS (Base-Case)'!AQ13</f>
        <v>0</v>
      </c>
      <c r="AR13" s="33">
        <f>'BS (Bull-Case)'!AR13-'BS (Base-Case)'!AR13</f>
        <v>0</v>
      </c>
      <c r="AS13" s="33">
        <f>'BS (Bull-Case)'!AS13-'BS (Base-Case)'!AS13</f>
        <v>0</v>
      </c>
      <c r="AT13" s="33">
        <f>'BS (Bull-Case)'!AT13-'BS (Base-Case)'!AT13</f>
        <v>0</v>
      </c>
      <c r="AU13" s="33">
        <f>'BS (Bull-Case)'!AU13-'BS (Base-Case)'!AU13</f>
        <v>0</v>
      </c>
      <c r="AV13" s="17">
        <f>'BS (Bull-Case)'!AV13-'BS (Base-Case)'!AV13</f>
        <v>0</v>
      </c>
    </row>
    <row r="14" spans="1:48" s="8" customFormat="1" outlineLevel="1" x14ac:dyDescent="0.3">
      <c r="A14" s="161"/>
      <c r="B14" s="200" t="s">
        <v>221</v>
      </c>
      <c r="C14" s="206"/>
      <c r="D14" s="16">
        <f>'BS (Bull-Case)'!D14-'BS (Base-Case)'!D14</f>
        <v>0</v>
      </c>
      <c r="E14" s="16">
        <f>'BS (Bull-Case)'!E14-'BS (Base-Case)'!E14</f>
        <v>0</v>
      </c>
      <c r="F14" s="16">
        <f>'BS (Bull-Case)'!F14-'BS (Base-Case)'!F14</f>
        <v>0</v>
      </c>
      <c r="G14" s="16">
        <f>'BS (Bull-Case)'!G14-'BS (Base-Case)'!G14</f>
        <v>0</v>
      </c>
      <c r="H14" s="17">
        <f>'BS (Bull-Case)'!H14-'BS (Base-Case)'!H14</f>
        <v>0</v>
      </c>
      <c r="I14" s="16">
        <f>'BS (Bull-Case)'!I14-'BS (Base-Case)'!I14</f>
        <v>0</v>
      </c>
      <c r="J14" s="16">
        <f>'BS (Bull-Case)'!J14-'BS (Base-Case)'!J14</f>
        <v>0</v>
      </c>
      <c r="K14" s="16">
        <f>'BS (Bull-Case)'!K14-'BS (Base-Case)'!K14</f>
        <v>0</v>
      </c>
      <c r="L14" s="101">
        <f>'BS (Bull-Case)'!L14-'BS (Base-Case)'!L14</f>
        <v>0</v>
      </c>
      <c r="M14" s="17">
        <f>'BS (Bull-Case)'!M14-'BS (Base-Case)'!M14</f>
        <v>0</v>
      </c>
      <c r="N14" s="16">
        <f>'BS (Bull-Case)'!N14-'BS (Base-Case)'!N14</f>
        <v>0</v>
      </c>
      <c r="O14" s="16">
        <f>'BS (Bull-Case)'!O14-'BS (Base-Case)'!O14</f>
        <v>0</v>
      </c>
      <c r="P14" s="16">
        <f>'BS (Bull-Case)'!P14-'BS (Base-Case)'!P14</f>
        <v>0</v>
      </c>
      <c r="Q14" s="101">
        <f>'BS (Bull-Case)'!Q14-'BS (Base-Case)'!Q14</f>
        <v>0</v>
      </c>
      <c r="R14" s="17">
        <f>'BS (Bull-Case)'!R14-'BS (Base-Case)'!R14</f>
        <v>0</v>
      </c>
      <c r="S14" s="16">
        <f>'BS (Bull-Case)'!S14-'BS (Base-Case)'!S14</f>
        <v>0</v>
      </c>
      <c r="T14" s="16">
        <f>'BS (Bull-Case)'!T14-'BS (Base-Case)'!T14</f>
        <v>0</v>
      </c>
      <c r="U14" s="101">
        <f>'BS (Bull-Case)'!U14-'BS (Base-Case)'!U14</f>
        <v>0</v>
      </c>
      <c r="V14" s="16">
        <f>'BS (Bull-Case)'!V14-'BS (Base-Case)'!V14</f>
        <v>0</v>
      </c>
      <c r="W14" s="17">
        <f>'BS (Bull-Case)'!W14-'BS (Base-Case)'!W14</f>
        <v>0</v>
      </c>
      <c r="X14" s="16">
        <f>'BS (Bull-Case)'!X14-'BS (Base-Case)'!X14</f>
        <v>0.10937834729520546</v>
      </c>
      <c r="Y14" s="16">
        <f>'BS (Bull-Case)'!Y14-'BS (Base-Case)'!Y14</f>
        <v>9.7501330767045147E-2</v>
      </c>
      <c r="Z14" s="16">
        <f>'BS (Bull-Case)'!Z14-'BS (Base-Case)'!Z14</f>
        <v>0.19504658729420044</v>
      </c>
      <c r="AA14" s="16">
        <f>'BS (Bull-Case)'!AA14-'BS (Base-Case)'!AA14</f>
        <v>-2.4407998907918227E-2</v>
      </c>
      <c r="AB14" s="17">
        <f>'BS (Bull-Case)'!AB14-'BS (Base-Case)'!AB14</f>
        <v>-2.4407998907918227E-2</v>
      </c>
      <c r="AC14" s="16">
        <f>'BS (Bull-Case)'!AC14-'BS (Base-Case)'!AC14</f>
        <v>2.3999541018383752E-2</v>
      </c>
      <c r="AD14" s="16">
        <f>'BS (Bull-Case)'!AD14-'BS (Base-Case)'!AD14</f>
        <v>0.16482135346996074</v>
      </c>
      <c r="AE14" s="16">
        <f>'BS (Bull-Case)'!AE14-'BS (Base-Case)'!AE14</f>
        <v>0.37759529420145554</v>
      </c>
      <c r="AF14" s="16">
        <f>'BS (Bull-Case)'!AF14-'BS (Base-Case)'!AF14</f>
        <v>-5.7320740017530625E-2</v>
      </c>
      <c r="AG14" s="17">
        <f>'BS (Bull-Case)'!AG14-'BS (Base-Case)'!AG14</f>
        <v>-5.7320740017530625E-2</v>
      </c>
      <c r="AH14" s="16">
        <f>'BS (Bull-Case)'!AH14-'BS (Base-Case)'!AH14</f>
        <v>2.3855743229432846E-2</v>
      </c>
      <c r="AI14" s="16">
        <f>'BS (Bull-Case)'!AI14-'BS (Base-Case)'!AI14</f>
        <v>0.27705837255962251</v>
      </c>
      <c r="AJ14" s="16">
        <f>'BS (Bull-Case)'!AJ14-'BS (Base-Case)'!AJ14</f>
        <v>0.57387473650305765</v>
      </c>
      <c r="AK14" s="16">
        <f>'BS (Bull-Case)'!AK14-'BS (Base-Case)'!AK14</f>
        <v>-0.10696156719313876</v>
      </c>
      <c r="AL14" s="17">
        <f>'BS (Bull-Case)'!AL14-'BS (Base-Case)'!AL14</f>
        <v>-0.10696156719313876</v>
      </c>
      <c r="AM14" s="16">
        <f>'BS (Bull-Case)'!AM14-'BS (Base-Case)'!AM14</f>
        <v>-0.30092693227197742</v>
      </c>
      <c r="AN14" s="16">
        <f>'BS (Bull-Case)'!AN14-'BS (Base-Case)'!AN14</f>
        <v>-0.17776323619727918</v>
      </c>
      <c r="AO14" s="16">
        <f>'BS (Bull-Case)'!AO14-'BS (Base-Case)'!AO14</f>
        <v>6.0178130470376345E-2</v>
      </c>
      <c r="AP14" s="16">
        <f>'BS (Bull-Case)'!AP14-'BS (Base-Case)'!AP14</f>
        <v>-0.69693909742090909</v>
      </c>
      <c r="AQ14" s="17">
        <f>'BS (Bull-Case)'!AQ14-'BS (Base-Case)'!AQ14</f>
        <v>-0.69693909742090909</v>
      </c>
      <c r="AR14" s="16">
        <f>'BS (Bull-Case)'!AR14-'BS (Base-Case)'!AR14</f>
        <v>-0.89611569509543187</v>
      </c>
      <c r="AS14" s="16">
        <f>'BS (Bull-Case)'!AS14-'BS (Base-Case)'!AS14</f>
        <v>-0.74827181393447972</v>
      </c>
      <c r="AT14" s="16">
        <f>'BS (Bull-Case)'!AT14-'BS (Base-Case)'!AT14</f>
        <v>-0.48012927621493873</v>
      </c>
      <c r="AU14" s="16">
        <f>'BS (Bull-Case)'!AU14-'BS (Base-Case)'!AU14</f>
        <v>-1.2823079635491013</v>
      </c>
      <c r="AV14" s="17">
        <f>'BS (Bull-Case)'!AV14-'BS (Base-Case)'!AV14</f>
        <v>-1.2823079635491013</v>
      </c>
    </row>
    <row r="15" spans="1:48" s="8" customFormat="1" outlineLevel="1" x14ac:dyDescent="0.3">
      <c r="A15" s="161"/>
      <c r="B15" s="200" t="s">
        <v>222</v>
      </c>
      <c r="C15" s="206"/>
      <c r="D15" s="16">
        <f>'BS (Bull-Case)'!D15-'BS (Base-Case)'!D15</f>
        <v>0</v>
      </c>
      <c r="E15" s="16">
        <f>'BS (Bull-Case)'!E15-'BS (Base-Case)'!E15</f>
        <v>0</v>
      </c>
      <c r="F15" s="16">
        <f>'BS (Bull-Case)'!F15-'BS (Base-Case)'!F15</f>
        <v>0</v>
      </c>
      <c r="G15" s="16">
        <f>'BS (Bull-Case)'!G15-'BS (Base-Case)'!G15</f>
        <v>0</v>
      </c>
      <c r="H15" s="17">
        <f>'BS (Bull-Case)'!H15-'BS (Base-Case)'!H15</f>
        <v>0</v>
      </c>
      <c r="I15" s="16">
        <f>'BS (Bull-Case)'!I15-'BS (Base-Case)'!I15</f>
        <v>0</v>
      </c>
      <c r="J15" s="16">
        <f>'BS (Bull-Case)'!J15-'BS (Base-Case)'!J15</f>
        <v>0</v>
      </c>
      <c r="K15" s="16">
        <f>'BS (Bull-Case)'!K15-'BS (Base-Case)'!K15</f>
        <v>0</v>
      </c>
      <c r="L15" s="101">
        <f>'BS (Bull-Case)'!L15-'BS (Base-Case)'!L15</f>
        <v>0</v>
      </c>
      <c r="M15" s="17">
        <f>'BS (Bull-Case)'!M15-'BS (Base-Case)'!M15</f>
        <v>0</v>
      </c>
      <c r="N15" s="16">
        <f>'BS (Bull-Case)'!N15-'BS (Base-Case)'!N15</f>
        <v>0</v>
      </c>
      <c r="O15" s="16">
        <f>'BS (Bull-Case)'!O15-'BS (Base-Case)'!O15</f>
        <v>0</v>
      </c>
      <c r="P15" s="16">
        <f>'BS (Bull-Case)'!P15-'BS (Base-Case)'!P15</f>
        <v>0</v>
      </c>
      <c r="Q15" s="101">
        <f>'BS (Bull-Case)'!Q15-'BS (Base-Case)'!Q15</f>
        <v>0</v>
      </c>
      <c r="R15" s="17">
        <f>'BS (Bull-Case)'!R15-'BS (Base-Case)'!R15</f>
        <v>0</v>
      </c>
      <c r="S15" s="16">
        <f>'BS (Bull-Case)'!S15-'BS (Base-Case)'!S15</f>
        <v>0</v>
      </c>
      <c r="T15" s="16">
        <f>'BS (Bull-Case)'!T15-'BS (Base-Case)'!T15</f>
        <v>0</v>
      </c>
      <c r="U15" s="101">
        <f>'BS (Bull-Case)'!U15-'BS (Base-Case)'!U15</f>
        <v>0</v>
      </c>
      <c r="V15" s="33">
        <f>'BS (Bull-Case)'!V15-'BS (Base-Case)'!V15</f>
        <v>0</v>
      </c>
      <c r="W15" s="17">
        <f>'BS (Bull-Case)'!W15-'BS (Base-Case)'!W15</f>
        <v>0</v>
      </c>
      <c r="X15" s="33">
        <f>'BS (Bull-Case)'!X15-'BS (Base-Case)'!X15</f>
        <v>0</v>
      </c>
      <c r="Y15" s="33">
        <f>'BS (Bull-Case)'!Y15-'BS (Base-Case)'!Y15</f>
        <v>0</v>
      </c>
      <c r="Z15" s="33">
        <f>'BS (Bull-Case)'!Z15-'BS (Base-Case)'!Z15</f>
        <v>0</v>
      </c>
      <c r="AA15" s="33">
        <f>'BS (Bull-Case)'!AA15-'BS (Base-Case)'!AA15</f>
        <v>0</v>
      </c>
      <c r="AB15" s="17">
        <f>'BS (Bull-Case)'!AB15-'BS (Base-Case)'!AB15</f>
        <v>0</v>
      </c>
      <c r="AC15" s="33">
        <f>'BS (Bull-Case)'!AC15-'BS (Base-Case)'!AC15</f>
        <v>0</v>
      </c>
      <c r="AD15" s="33">
        <f>'BS (Bull-Case)'!AD15-'BS (Base-Case)'!AD15</f>
        <v>0</v>
      </c>
      <c r="AE15" s="33">
        <f>'BS (Bull-Case)'!AE15-'BS (Base-Case)'!AE15</f>
        <v>0</v>
      </c>
      <c r="AF15" s="33">
        <f>'BS (Bull-Case)'!AF15-'BS (Base-Case)'!AF15</f>
        <v>0</v>
      </c>
      <c r="AG15" s="17">
        <f>'BS (Bull-Case)'!AG15-'BS (Base-Case)'!AG15</f>
        <v>0</v>
      </c>
      <c r="AH15" s="33">
        <f>'BS (Bull-Case)'!AH15-'BS (Base-Case)'!AH15</f>
        <v>0</v>
      </c>
      <c r="AI15" s="33">
        <f>'BS (Bull-Case)'!AI15-'BS (Base-Case)'!AI15</f>
        <v>0</v>
      </c>
      <c r="AJ15" s="33">
        <f>'BS (Bull-Case)'!AJ15-'BS (Base-Case)'!AJ15</f>
        <v>0</v>
      </c>
      <c r="AK15" s="33">
        <f>'BS (Bull-Case)'!AK15-'BS (Base-Case)'!AK15</f>
        <v>0</v>
      </c>
      <c r="AL15" s="17">
        <f>'BS (Bull-Case)'!AL15-'BS (Base-Case)'!AL15</f>
        <v>0</v>
      </c>
      <c r="AM15" s="33">
        <f>'BS (Bull-Case)'!AM15-'BS (Base-Case)'!AM15</f>
        <v>0</v>
      </c>
      <c r="AN15" s="33">
        <f>'BS (Bull-Case)'!AN15-'BS (Base-Case)'!AN15</f>
        <v>0</v>
      </c>
      <c r="AO15" s="33">
        <f>'BS (Bull-Case)'!AO15-'BS (Base-Case)'!AO15</f>
        <v>0</v>
      </c>
      <c r="AP15" s="33">
        <f>'BS (Bull-Case)'!AP15-'BS (Base-Case)'!AP15</f>
        <v>0</v>
      </c>
      <c r="AQ15" s="17">
        <f>'BS (Bull-Case)'!AQ15-'BS (Base-Case)'!AQ15</f>
        <v>0</v>
      </c>
      <c r="AR15" s="33">
        <f>'BS (Bull-Case)'!AR15-'BS (Base-Case)'!AR15</f>
        <v>0</v>
      </c>
      <c r="AS15" s="33">
        <f>'BS (Bull-Case)'!AS15-'BS (Base-Case)'!AS15</f>
        <v>0</v>
      </c>
      <c r="AT15" s="33">
        <f>'BS (Bull-Case)'!AT15-'BS (Base-Case)'!AT15</f>
        <v>0</v>
      </c>
      <c r="AU15" s="33">
        <f>'BS (Bull-Case)'!AU15-'BS (Base-Case)'!AU15</f>
        <v>0</v>
      </c>
      <c r="AV15" s="17">
        <f>'BS (Bull-Case)'!AV15-'BS (Base-Case)'!AV15</f>
        <v>0</v>
      </c>
    </row>
    <row r="16" spans="1:48" s="8" customFormat="1" outlineLevel="1" x14ac:dyDescent="0.3">
      <c r="A16" s="161"/>
      <c r="B16" s="200" t="s">
        <v>223</v>
      </c>
      <c r="C16" s="206"/>
      <c r="D16" s="16">
        <f>'BS (Bull-Case)'!D16-'BS (Base-Case)'!D16</f>
        <v>0</v>
      </c>
      <c r="E16" s="16">
        <f>'BS (Bull-Case)'!E16-'BS (Base-Case)'!E16</f>
        <v>0</v>
      </c>
      <c r="F16" s="16">
        <f>'BS (Bull-Case)'!F16-'BS (Base-Case)'!F16</f>
        <v>0</v>
      </c>
      <c r="G16" s="16">
        <f>'BS (Bull-Case)'!G16-'BS (Base-Case)'!G16</f>
        <v>0</v>
      </c>
      <c r="H16" s="17">
        <f>'BS (Bull-Case)'!H16-'BS (Base-Case)'!H16</f>
        <v>0</v>
      </c>
      <c r="I16" s="16">
        <f>'BS (Bull-Case)'!I16-'BS (Base-Case)'!I16</f>
        <v>0</v>
      </c>
      <c r="J16" s="16">
        <f>'BS (Bull-Case)'!J16-'BS (Base-Case)'!J16</f>
        <v>0</v>
      </c>
      <c r="K16" s="16">
        <f>'BS (Bull-Case)'!K16-'BS (Base-Case)'!K16</f>
        <v>0</v>
      </c>
      <c r="L16" s="101">
        <f>'BS (Bull-Case)'!L16-'BS (Base-Case)'!L16</f>
        <v>0</v>
      </c>
      <c r="M16" s="17">
        <f>'BS (Bull-Case)'!M16-'BS (Base-Case)'!M16</f>
        <v>0</v>
      </c>
      <c r="N16" s="16">
        <f>'BS (Bull-Case)'!N16-'BS (Base-Case)'!N16</f>
        <v>0</v>
      </c>
      <c r="O16" s="16">
        <f>'BS (Bull-Case)'!O16-'BS (Base-Case)'!O16</f>
        <v>0</v>
      </c>
      <c r="P16" s="16">
        <f>'BS (Bull-Case)'!P16-'BS (Base-Case)'!P16</f>
        <v>0</v>
      </c>
      <c r="Q16" s="101">
        <f>'BS (Bull-Case)'!Q16-'BS (Base-Case)'!Q16</f>
        <v>0</v>
      </c>
      <c r="R16" s="17">
        <f>'BS (Bull-Case)'!R16-'BS (Base-Case)'!R16</f>
        <v>0</v>
      </c>
      <c r="S16" s="16">
        <f>'BS (Bull-Case)'!S16-'BS (Base-Case)'!S16</f>
        <v>0</v>
      </c>
      <c r="T16" s="16">
        <f>'BS (Bull-Case)'!T16-'BS (Base-Case)'!T16</f>
        <v>0</v>
      </c>
      <c r="U16" s="101">
        <f>'BS (Bull-Case)'!U16-'BS (Base-Case)'!U16</f>
        <v>0</v>
      </c>
      <c r="V16" s="101">
        <f>'BS (Bull-Case)'!V16-'BS (Base-Case)'!V16</f>
        <v>0</v>
      </c>
      <c r="W16" s="169">
        <f>'BS (Bull-Case)'!W16-'BS (Base-Case)'!W16</f>
        <v>0</v>
      </c>
      <c r="X16" s="101">
        <f>'BS (Bull-Case)'!X16-'BS (Base-Case)'!X16</f>
        <v>0</v>
      </c>
      <c r="Y16" s="101">
        <f>'BS (Bull-Case)'!Y16-'BS (Base-Case)'!Y16</f>
        <v>0</v>
      </c>
      <c r="Z16" s="101">
        <f>'BS (Bull-Case)'!Z16-'BS (Base-Case)'!Z16</f>
        <v>0</v>
      </c>
      <c r="AA16" s="101">
        <f>'BS (Bull-Case)'!AA16-'BS (Base-Case)'!AA16</f>
        <v>0</v>
      </c>
      <c r="AB16" s="169">
        <f>'BS (Bull-Case)'!AB16-'BS (Base-Case)'!AB16</f>
        <v>0</v>
      </c>
      <c r="AC16" s="101">
        <f>'BS (Bull-Case)'!AC16-'BS (Base-Case)'!AC16</f>
        <v>0</v>
      </c>
      <c r="AD16" s="101">
        <f>'BS (Bull-Case)'!AD16-'BS (Base-Case)'!AD16</f>
        <v>0</v>
      </c>
      <c r="AE16" s="101">
        <f>'BS (Bull-Case)'!AE16-'BS (Base-Case)'!AE16</f>
        <v>0</v>
      </c>
      <c r="AF16" s="101">
        <f>'BS (Bull-Case)'!AF16-'BS (Base-Case)'!AF16</f>
        <v>0</v>
      </c>
      <c r="AG16" s="169">
        <f>'BS (Bull-Case)'!AG16-'BS (Base-Case)'!AG16</f>
        <v>0</v>
      </c>
      <c r="AH16" s="101">
        <f>'BS (Bull-Case)'!AH16-'BS (Base-Case)'!AH16</f>
        <v>0</v>
      </c>
      <c r="AI16" s="101">
        <f>'BS (Bull-Case)'!AI16-'BS (Base-Case)'!AI16</f>
        <v>0</v>
      </c>
      <c r="AJ16" s="101">
        <f>'BS (Bull-Case)'!AJ16-'BS (Base-Case)'!AJ16</f>
        <v>0</v>
      </c>
      <c r="AK16" s="101">
        <f>'BS (Bull-Case)'!AK16-'BS (Base-Case)'!AK16</f>
        <v>0</v>
      </c>
      <c r="AL16" s="169">
        <f>'BS (Bull-Case)'!AL16-'BS (Base-Case)'!AL16</f>
        <v>0</v>
      </c>
      <c r="AM16" s="101">
        <f>'BS (Bull-Case)'!AM16-'BS (Base-Case)'!AM16</f>
        <v>0</v>
      </c>
      <c r="AN16" s="101">
        <f>'BS (Bull-Case)'!AN16-'BS (Base-Case)'!AN16</f>
        <v>0</v>
      </c>
      <c r="AO16" s="101">
        <f>'BS (Bull-Case)'!AO16-'BS (Base-Case)'!AO16</f>
        <v>0</v>
      </c>
      <c r="AP16" s="101">
        <f>'BS (Bull-Case)'!AP16-'BS (Base-Case)'!AP16</f>
        <v>0</v>
      </c>
      <c r="AQ16" s="169">
        <f>'BS (Bull-Case)'!AQ16-'BS (Base-Case)'!AQ16</f>
        <v>0</v>
      </c>
      <c r="AR16" s="101">
        <f>'BS (Bull-Case)'!AR16-'BS (Base-Case)'!AR16</f>
        <v>0</v>
      </c>
      <c r="AS16" s="101">
        <f>'BS (Bull-Case)'!AS16-'BS (Base-Case)'!AS16</f>
        <v>0</v>
      </c>
      <c r="AT16" s="101">
        <f>'BS (Bull-Case)'!AT16-'BS (Base-Case)'!AT16</f>
        <v>0</v>
      </c>
      <c r="AU16" s="101">
        <f>'BS (Bull-Case)'!AU16-'BS (Base-Case)'!AU16</f>
        <v>0</v>
      </c>
      <c r="AV16" s="17">
        <f>'BS (Bull-Case)'!AV16-'BS (Base-Case)'!AV16</f>
        <v>0</v>
      </c>
    </row>
    <row r="17" spans="1:48" s="8" customFormat="1" outlineLevel="1" x14ac:dyDescent="0.3">
      <c r="A17" s="161"/>
      <c r="B17" s="200" t="s">
        <v>224</v>
      </c>
      <c r="C17" s="206"/>
      <c r="D17" s="16">
        <f>'BS (Bull-Case)'!D17-'BS (Base-Case)'!D17</f>
        <v>0</v>
      </c>
      <c r="E17" s="16">
        <f>'BS (Bull-Case)'!E17-'BS (Base-Case)'!E17</f>
        <v>0</v>
      </c>
      <c r="F17" s="16">
        <f>'BS (Bull-Case)'!F17-'BS (Base-Case)'!F17</f>
        <v>0</v>
      </c>
      <c r="G17" s="16">
        <f>'BS (Bull-Case)'!G17-'BS (Base-Case)'!G17</f>
        <v>0</v>
      </c>
      <c r="H17" s="17">
        <f>'BS (Bull-Case)'!H17-'BS (Base-Case)'!H17</f>
        <v>0</v>
      </c>
      <c r="I17" s="16">
        <f>'BS (Bull-Case)'!I17-'BS (Base-Case)'!I17</f>
        <v>0</v>
      </c>
      <c r="J17" s="16">
        <f>'BS (Bull-Case)'!J17-'BS (Base-Case)'!J17</f>
        <v>0</v>
      </c>
      <c r="K17" s="16">
        <f>'BS (Bull-Case)'!K17-'BS (Base-Case)'!K17</f>
        <v>0</v>
      </c>
      <c r="L17" s="101">
        <f>'BS (Bull-Case)'!L17-'BS (Base-Case)'!L17</f>
        <v>0</v>
      </c>
      <c r="M17" s="17">
        <f>'BS (Bull-Case)'!M17-'BS (Base-Case)'!M17</f>
        <v>0</v>
      </c>
      <c r="N17" s="16">
        <f>'BS (Bull-Case)'!N17-'BS (Base-Case)'!N17</f>
        <v>0</v>
      </c>
      <c r="O17" s="16">
        <f>'BS (Bull-Case)'!O17-'BS (Base-Case)'!O17</f>
        <v>0</v>
      </c>
      <c r="P17" s="16">
        <f>'BS (Bull-Case)'!P17-'BS (Base-Case)'!P17</f>
        <v>0</v>
      </c>
      <c r="Q17" s="101">
        <f>'BS (Bull-Case)'!Q17-'BS (Base-Case)'!Q17</f>
        <v>0</v>
      </c>
      <c r="R17" s="17">
        <f>'BS (Bull-Case)'!R17-'BS (Base-Case)'!R17</f>
        <v>0</v>
      </c>
      <c r="S17" s="16">
        <f>'BS (Bull-Case)'!S17-'BS (Base-Case)'!S17</f>
        <v>0</v>
      </c>
      <c r="T17" s="16">
        <f>'BS (Bull-Case)'!T17-'BS (Base-Case)'!T17</f>
        <v>0</v>
      </c>
      <c r="U17" s="101">
        <f>'BS (Bull-Case)'!U17-'BS (Base-Case)'!U17</f>
        <v>0</v>
      </c>
      <c r="V17" s="33">
        <f>'BS (Bull-Case)'!V17-'BS (Base-Case)'!V17</f>
        <v>0</v>
      </c>
      <c r="W17" s="17">
        <f>'BS (Bull-Case)'!W17-'BS (Base-Case)'!W17</f>
        <v>0</v>
      </c>
      <c r="X17" s="33">
        <f>'BS (Bull-Case)'!X17-'BS (Base-Case)'!X17</f>
        <v>0.62359583597537949</v>
      </c>
      <c r="Y17" s="33">
        <f>'BS (Bull-Case)'!Y17-'BS (Base-Case)'!Y17</f>
        <v>0.9234431148014437</v>
      </c>
      <c r="Z17" s="33">
        <f>'BS (Bull-Case)'!Z17-'BS (Base-Case)'!Z17</f>
        <v>1.3762970887344181</v>
      </c>
      <c r="AA17" s="33">
        <f>'BS (Bull-Case)'!AA17-'BS (Base-Case)'!AA17</f>
        <v>1.7275220072065167</v>
      </c>
      <c r="AB17" s="17">
        <f>'BS (Bull-Case)'!AB17-'BS (Base-Case)'!AB17</f>
        <v>1.7275220072065167</v>
      </c>
      <c r="AC17" s="33">
        <f>'BS (Bull-Case)'!AC17-'BS (Base-Case)'!AC17</f>
        <v>3.0215376203842652</v>
      </c>
      <c r="AD17" s="33">
        <f>'BS (Bull-Case)'!AD17-'BS (Base-Case)'!AD17</f>
        <v>3.9373741676338341</v>
      </c>
      <c r="AE17" s="33">
        <f>'BS (Bull-Case)'!AE17-'BS (Base-Case)'!AE17</f>
        <v>5.1480418266287415</v>
      </c>
      <c r="AF17" s="33">
        <f>'BS (Bull-Case)'!AF17-'BS (Base-Case)'!AF17</f>
        <v>6.1463175858234536</v>
      </c>
      <c r="AG17" s="17">
        <f>'BS (Bull-Case)'!AG17-'BS (Base-Case)'!AG17</f>
        <v>6.1463175858234536</v>
      </c>
      <c r="AH17" s="33">
        <f>'BS (Bull-Case)'!AH17-'BS (Base-Case)'!AH17</f>
        <v>8.3243444093047856</v>
      </c>
      <c r="AI17" s="33">
        <f>'BS (Bull-Case)'!AI17-'BS (Base-Case)'!AI17</f>
        <v>10.02220162325375</v>
      </c>
      <c r="AJ17" s="33">
        <f>'BS (Bull-Case)'!AJ17-'BS (Base-Case)'!AJ17</f>
        <v>12.219404873244798</v>
      </c>
      <c r="AK17" s="33">
        <f>'BS (Bull-Case)'!AK17-'BS (Base-Case)'!AK17</f>
        <v>46.929783855034088</v>
      </c>
      <c r="AL17" s="17">
        <f>'BS (Bull-Case)'!AL17-'BS (Base-Case)'!AL17</f>
        <v>46.929783855034088</v>
      </c>
      <c r="AM17" s="33">
        <f>'BS (Bull-Case)'!AM17-'BS (Base-Case)'!AM17</f>
        <v>48.768606654383461</v>
      </c>
      <c r="AN17" s="33">
        <f>'BS (Bull-Case)'!AN17-'BS (Base-Case)'!AN17</f>
        <v>50.365415121543947</v>
      </c>
      <c r="AO17" s="33">
        <f>'BS (Bull-Case)'!AO17-'BS (Base-Case)'!AO17</f>
        <v>52.335858925091316</v>
      </c>
      <c r="AP17" s="33">
        <f>'BS (Bull-Case)'!AP17-'BS (Base-Case)'!AP17</f>
        <v>53.690933931767518</v>
      </c>
      <c r="AQ17" s="17">
        <f>'BS (Bull-Case)'!AQ17-'BS (Base-Case)'!AQ17</f>
        <v>53.690933931767518</v>
      </c>
      <c r="AR17" s="33">
        <f>'BS (Bull-Case)'!AR17-'BS (Base-Case)'!AR17</f>
        <v>55.296928958082958</v>
      </c>
      <c r="AS17" s="33">
        <f>'BS (Bull-Case)'!AS17-'BS (Base-Case)'!AS17</f>
        <v>56.654006101086225</v>
      </c>
      <c r="AT17" s="33">
        <f>'BS (Bull-Case)'!AT17-'BS (Base-Case)'!AT17</f>
        <v>58.574934090123293</v>
      </c>
      <c r="AU17" s="33">
        <f>'BS (Bull-Case)'!AU17-'BS (Base-Case)'!AU17</f>
        <v>60.055730569853154</v>
      </c>
      <c r="AV17" s="17">
        <f>'BS (Bull-Case)'!AV17-'BS (Base-Case)'!AV17</f>
        <v>60.055730569853154</v>
      </c>
    </row>
    <row r="18" spans="1:48" s="8" customFormat="1" outlineLevel="1" x14ac:dyDescent="0.3">
      <c r="A18" s="161"/>
      <c r="B18" s="200" t="s">
        <v>225</v>
      </c>
      <c r="C18" s="206"/>
      <c r="D18" s="16">
        <f>'BS (Bull-Case)'!D18-'BS (Base-Case)'!D18</f>
        <v>0</v>
      </c>
      <c r="E18" s="16">
        <f>'BS (Bull-Case)'!E18-'BS (Base-Case)'!E18</f>
        <v>0</v>
      </c>
      <c r="F18" s="16">
        <f>'BS (Bull-Case)'!F18-'BS (Base-Case)'!F18</f>
        <v>0</v>
      </c>
      <c r="G18" s="16">
        <f>'BS (Bull-Case)'!G18-'BS (Base-Case)'!G18</f>
        <v>0</v>
      </c>
      <c r="H18" s="17">
        <f>'BS (Bull-Case)'!H18-'BS (Base-Case)'!H18</f>
        <v>0</v>
      </c>
      <c r="I18" s="16">
        <f>'BS (Bull-Case)'!I18-'BS (Base-Case)'!I18</f>
        <v>0</v>
      </c>
      <c r="J18" s="16">
        <f>'BS (Bull-Case)'!J18-'BS (Base-Case)'!J18</f>
        <v>0</v>
      </c>
      <c r="K18" s="16">
        <f>'BS (Bull-Case)'!K18-'BS (Base-Case)'!K18</f>
        <v>0</v>
      </c>
      <c r="L18" s="101">
        <f>'BS (Bull-Case)'!L18-'BS (Base-Case)'!L18</f>
        <v>0</v>
      </c>
      <c r="M18" s="17">
        <f>'BS (Bull-Case)'!M18-'BS (Base-Case)'!M18</f>
        <v>0</v>
      </c>
      <c r="N18" s="16">
        <f>'BS (Bull-Case)'!N18-'BS (Base-Case)'!N18</f>
        <v>0</v>
      </c>
      <c r="O18" s="16">
        <f>'BS (Bull-Case)'!O18-'BS (Base-Case)'!O18</f>
        <v>0</v>
      </c>
      <c r="P18" s="16">
        <f>'BS (Bull-Case)'!P18-'BS (Base-Case)'!P18</f>
        <v>0</v>
      </c>
      <c r="Q18" s="101">
        <f>'BS (Bull-Case)'!Q18-'BS (Base-Case)'!Q18</f>
        <v>0</v>
      </c>
      <c r="R18" s="17">
        <f>'BS (Bull-Case)'!R18-'BS (Base-Case)'!R18</f>
        <v>0</v>
      </c>
      <c r="S18" s="16">
        <f>'BS (Bull-Case)'!S18-'BS (Base-Case)'!S18</f>
        <v>0</v>
      </c>
      <c r="T18" s="16">
        <f>'BS (Bull-Case)'!T18-'BS (Base-Case)'!T18</f>
        <v>0</v>
      </c>
      <c r="U18" s="101">
        <f>'BS (Bull-Case)'!U18-'BS (Base-Case)'!U18</f>
        <v>0</v>
      </c>
      <c r="V18" s="33">
        <f>'BS (Bull-Case)'!V18-'BS (Base-Case)'!V18</f>
        <v>0</v>
      </c>
      <c r="W18" s="17">
        <f>'BS (Bull-Case)'!W18-'BS (Base-Case)'!W18</f>
        <v>0</v>
      </c>
      <c r="X18" s="33">
        <f>'BS (Bull-Case)'!X18-'BS (Base-Case)'!X18</f>
        <v>0</v>
      </c>
      <c r="Y18" s="33">
        <f>'BS (Bull-Case)'!Y18-'BS (Base-Case)'!Y18</f>
        <v>0</v>
      </c>
      <c r="Z18" s="33">
        <f>'BS (Bull-Case)'!Z18-'BS (Base-Case)'!Z18</f>
        <v>0</v>
      </c>
      <c r="AA18" s="33">
        <f>'BS (Bull-Case)'!AA18-'BS (Base-Case)'!AA18</f>
        <v>0</v>
      </c>
      <c r="AB18" s="17">
        <f>'BS (Bull-Case)'!AB18-'BS (Base-Case)'!AB18</f>
        <v>0</v>
      </c>
      <c r="AC18" s="33">
        <f>'BS (Bull-Case)'!AC18-'BS (Base-Case)'!AC18</f>
        <v>0</v>
      </c>
      <c r="AD18" s="33">
        <f>'BS (Bull-Case)'!AD18-'BS (Base-Case)'!AD18</f>
        <v>0</v>
      </c>
      <c r="AE18" s="33">
        <f>'BS (Bull-Case)'!AE18-'BS (Base-Case)'!AE18</f>
        <v>0</v>
      </c>
      <c r="AF18" s="33">
        <f>'BS (Bull-Case)'!AF18-'BS (Base-Case)'!AF18</f>
        <v>0</v>
      </c>
      <c r="AG18" s="17">
        <f>'BS (Bull-Case)'!AG18-'BS (Base-Case)'!AG18</f>
        <v>0</v>
      </c>
      <c r="AH18" s="33">
        <f>'BS (Bull-Case)'!AH18-'BS (Base-Case)'!AH18</f>
        <v>0</v>
      </c>
      <c r="AI18" s="33">
        <f>'BS (Bull-Case)'!AI18-'BS (Base-Case)'!AI18</f>
        <v>0</v>
      </c>
      <c r="AJ18" s="33">
        <f>'BS (Bull-Case)'!AJ18-'BS (Base-Case)'!AJ18</f>
        <v>0</v>
      </c>
      <c r="AK18" s="33">
        <f>'BS (Bull-Case)'!AK18-'BS (Base-Case)'!AK18</f>
        <v>0</v>
      </c>
      <c r="AL18" s="17">
        <f>'BS (Bull-Case)'!AL18-'BS (Base-Case)'!AL18</f>
        <v>0</v>
      </c>
      <c r="AM18" s="33">
        <f>'BS (Bull-Case)'!AM18-'BS (Base-Case)'!AM18</f>
        <v>0</v>
      </c>
      <c r="AN18" s="33">
        <f>'BS (Bull-Case)'!AN18-'BS (Base-Case)'!AN18</f>
        <v>0</v>
      </c>
      <c r="AO18" s="33">
        <f>'BS (Bull-Case)'!AO18-'BS (Base-Case)'!AO18</f>
        <v>0</v>
      </c>
      <c r="AP18" s="33">
        <f>'BS (Bull-Case)'!AP18-'BS (Base-Case)'!AP18</f>
        <v>0</v>
      </c>
      <c r="AQ18" s="17">
        <f>'BS (Bull-Case)'!AQ18-'BS (Base-Case)'!AQ18</f>
        <v>0</v>
      </c>
      <c r="AR18" s="33">
        <f>'BS (Bull-Case)'!AR18-'BS (Base-Case)'!AR18</f>
        <v>0</v>
      </c>
      <c r="AS18" s="33">
        <f>'BS (Bull-Case)'!AS18-'BS (Base-Case)'!AS18</f>
        <v>0</v>
      </c>
      <c r="AT18" s="33">
        <f>'BS (Bull-Case)'!AT18-'BS (Base-Case)'!AT18</f>
        <v>0</v>
      </c>
      <c r="AU18" s="33">
        <f>'BS (Bull-Case)'!AU18-'BS (Base-Case)'!AU18</f>
        <v>0</v>
      </c>
      <c r="AV18" s="17">
        <f>'BS (Bull-Case)'!AV18-'BS (Base-Case)'!AV18</f>
        <v>0</v>
      </c>
    </row>
    <row r="19" spans="1:48" ht="16.2" outlineLevel="1" x14ac:dyDescent="0.45">
      <c r="A19" s="161"/>
      <c r="B19" s="435" t="s">
        <v>226</v>
      </c>
      <c r="C19" s="436"/>
      <c r="D19" s="260">
        <f>'BS (Bull-Case)'!D19-'BS (Base-Case)'!D19</f>
        <v>0</v>
      </c>
      <c r="E19" s="260">
        <f>'BS (Bull-Case)'!E19-'BS (Base-Case)'!E19</f>
        <v>0</v>
      </c>
      <c r="F19" s="260">
        <f>'BS (Bull-Case)'!F19-'BS (Base-Case)'!F19</f>
        <v>0</v>
      </c>
      <c r="G19" s="260">
        <f>'BS (Bull-Case)'!G19-'BS (Base-Case)'!G19</f>
        <v>0</v>
      </c>
      <c r="H19" s="261">
        <f>'BS (Bull-Case)'!H19-'BS (Base-Case)'!H19</f>
        <v>0</v>
      </c>
      <c r="I19" s="260">
        <f>'BS (Bull-Case)'!I19-'BS (Base-Case)'!I19</f>
        <v>0</v>
      </c>
      <c r="J19" s="260">
        <f>'BS (Bull-Case)'!J19-'BS (Base-Case)'!J19</f>
        <v>0</v>
      </c>
      <c r="K19" s="260">
        <f>'BS (Bull-Case)'!K19-'BS (Base-Case)'!K19</f>
        <v>0</v>
      </c>
      <c r="L19" s="112">
        <f>'BS (Bull-Case)'!L19-'BS (Base-Case)'!L19</f>
        <v>0</v>
      </c>
      <c r="M19" s="261">
        <f>'BS (Bull-Case)'!M19-'BS (Base-Case)'!M19</f>
        <v>0</v>
      </c>
      <c r="N19" s="260">
        <f>'BS (Bull-Case)'!N19-'BS (Base-Case)'!N19</f>
        <v>0</v>
      </c>
      <c r="O19" s="260">
        <f>'BS (Bull-Case)'!O19-'BS (Base-Case)'!O19</f>
        <v>0</v>
      </c>
      <c r="P19" s="260">
        <f>'BS (Bull-Case)'!P19-'BS (Base-Case)'!P19</f>
        <v>0</v>
      </c>
      <c r="Q19" s="112">
        <f>'BS (Bull-Case)'!Q19-'BS (Base-Case)'!Q19</f>
        <v>0</v>
      </c>
      <c r="R19" s="261">
        <f>'BS (Bull-Case)'!R19-'BS (Base-Case)'!R19</f>
        <v>0</v>
      </c>
      <c r="S19" s="260">
        <f>'BS (Bull-Case)'!S19-'BS (Base-Case)'!S19</f>
        <v>0</v>
      </c>
      <c r="T19" s="260">
        <f>'BS (Bull-Case)'!T19-'BS (Base-Case)'!T19</f>
        <v>0</v>
      </c>
      <c r="U19" s="112">
        <f>'BS (Bull-Case)'!U19-'BS (Base-Case)'!U19</f>
        <v>0</v>
      </c>
      <c r="V19" s="32">
        <f>'BS (Bull-Case)'!V19-'BS (Base-Case)'!V19</f>
        <v>0</v>
      </c>
      <c r="W19" s="261">
        <f>'BS (Bull-Case)'!W19-'BS (Base-Case)'!W19</f>
        <v>0</v>
      </c>
      <c r="X19" s="32">
        <f>'BS (Bull-Case)'!X19-'BS (Base-Case)'!X19</f>
        <v>0</v>
      </c>
      <c r="Y19" s="32">
        <f>'BS (Bull-Case)'!Y19-'BS (Base-Case)'!Y19</f>
        <v>0</v>
      </c>
      <c r="Z19" s="32">
        <f>'BS (Bull-Case)'!Z19-'BS (Base-Case)'!Z19</f>
        <v>0</v>
      </c>
      <c r="AA19" s="32">
        <f>'BS (Bull-Case)'!AA19-'BS (Base-Case)'!AA19</f>
        <v>0</v>
      </c>
      <c r="AB19" s="261">
        <f>'BS (Bull-Case)'!AB19-'BS (Base-Case)'!AB19</f>
        <v>0</v>
      </c>
      <c r="AC19" s="32">
        <f>'BS (Bull-Case)'!AC19-'BS (Base-Case)'!AC19</f>
        <v>0</v>
      </c>
      <c r="AD19" s="32">
        <f>'BS (Bull-Case)'!AD19-'BS (Base-Case)'!AD19</f>
        <v>0</v>
      </c>
      <c r="AE19" s="32">
        <f>'BS (Bull-Case)'!AE19-'BS (Base-Case)'!AE19</f>
        <v>0</v>
      </c>
      <c r="AF19" s="32">
        <f>'BS (Bull-Case)'!AF19-'BS (Base-Case)'!AF19</f>
        <v>0</v>
      </c>
      <c r="AG19" s="261">
        <f>'BS (Bull-Case)'!AG19-'BS (Base-Case)'!AG19</f>
        <v>0</v>
      </c>
      <c r="AH19" s="32">
        <f>'BS (Bull-Case)'!AH19-'BS (Base-Case)'!AH19</f>
        <v>0</v>
      </c>
      <c r="AI19" s="32">
        <f>'BS (Bull-Case)'!AI19-'BS (Base-Case)'!AI19</f>
        <v>0</v>
      </c>
      <c r="AJ19" s="32">
        <f>'BS (Bull-Case)'!AJ19-'BS (Base-Case)'!AJ19</f>
        <v>0</v>
      </c>
      <c r="AK19" s="32">
        <f>'BS (Bull-Case)'!AK19-'BS (Base-Case)'!AK19</f>
        <v>0</v>
      </c>
      <c r="AL19" s="261">
        <f>'BS (Bull-Case)'!AL19-'BS (Base-Case)'!AL19</f>
        <v>0</v>
      </c>
      <c r="AM19" s="32">
        <f>'BS (Bull-Case)'!AM19-'BS (Base-Case)'!AM19</f>
        <v>0</v>
      </c>
      <c r="AN19" s="32">
        <f>'BS (Bull-Case)'!AN19-'BS (Base-Case)'!AN19</f>
        <v>0</v>
      </c>
      <c r="AO19" s="32">
        <f>'BS (Bull-Case)'!AO19-'BS (Base-Case)'!AO19</f>
        <v>0</v>
      </c>
      <c r="AP19" s="32">
        <f>'BS (Bull-Case)'!AP19-'BS (Base-Case)'!AP19</f>
        <v>0</v>
      </c>
      <c r="AQ19" s="261">
        <f>'BS (Bull-Case)'!AQ19-'BS (Base-Case)'!AQ19</f>
        <v>0</v>
      </c>
      <c r="AR19" s="32">
        <f>'BS (Bull-Case)'!AR19-'BS (Base-Case)'!AR19</f>
        <v>0</v>
      </c>
      <c r="AS19" s="32">
        <f>'BS (Bull-Case)'!AS19-'BS (Base-Case)'!AS19</f>
        <v>0</v>
      </c>
      <c r="AT19" s="32">
        <f>'BS (Bull-Case)'!AT19-'BS (Base-Case)'!AT19</f>
        <v>0</v>
      </c>
      <c r="AU19" s="32">
        <f>'BS (Bull-Case)'!AU19-'BS (Base-Case)'!AU19</f>
        <v>0</v>
      </c>
      <c r="AV19" s="261">
        <f>'BS (Bull-Case)'!AV19-'BS (Base-Case)'!AV19</f>
        <v>0</v>
      </c>
    </row>
    <row r="20" spans="1:48" outlineLevel="1" x14ac:dyDescent="0.3">
      <c r="A20" s="161"/>
      <c r="B20" s="472" t="s">
        <v>227</v>
      </c>
      <c r="C20" s="473"/>
      <c r="D20" s="21">
        <f>'BS (Bull-Case)'!D20-'BS (Base-Case)'!D20</f>
        <v>0</v>
      </c>
      <c r="E20" s="21">
        <f>'BS (Bull-Case)'!E20-'BS (Base-Case)'!E20</f>
        <v>0</v>
      </c>
      <c r="F20" s="21">
        <f>'BS (Bull-Case)'!F20-'BS (Base-Case)'!F20</f>
        <v>0</v>
      </c>
      <c r="G20" s="21">
        <f>'BS (Bull-Case)'!G20-'BS (Base-Case)'!G20</f>
        <v>0</v>
      </c>
      <c r="H20" s="22">
        <f>'BS (Bull-Case)'!H20-'BS (Base-Case)'!H20</f>
        <v>0</v>
      </c>
      <c r="I20" s="21">
        <f>'BS (Bull-Case)'!I20-'BS (Base-Case)'!I20</f>
        <v>0</v>
      </c>
      <c r="J20" s="21">
        <f>'BS (Bull-Case)'!J20-'BS (Base-Case)'!J20</f>
        <v>0</v>
      </c>
      <c r="K20" s="21">
        <f>'BS (Bull-Case)'!K20-'BS (Base-Case)'!K20</f>
        <v>0</v>
      </c>
      <c r="L20" s="21">
        <f>'BS (Bull-Case)'!L20-'BS (Base-Case)'!L20</f>
        <v>0</v>
      </c>
      <c r="M20" s="22">
        <f>'BS (Bull-Case)'!M20-'BS (Base-Case)'!M20</f>
        <v>0</v>
      </c>
      <c r="N20" s="21">
        <f>'BS (Bull-Case)'!N20-'BS (Base-Case)'!N20</f>
        <v>0</v>
      </c>
      <c r="O20" s="21">
        <f>'BS (Bull-Case)'!O20-'BS (Base-Case)'!O20</f>
        <v>0</v>
      </c>
      <c r="P20" s="21">
        <f>'BS (Bull-Case)'!P20-'BS (Base-Case)'!P20</f>
        <v>0</v>
      </c>
      <c r="Q20" s="21">
        <f>'BS (Bull-Case)'!Q20-'BS (Base-Case)'!Q20</f>
        <v>0</v>
      </c>
      <c r="R20" s="22">
        <f>'BS (Bull-Case)'!R20-'BS (Base-Case)'!R20</f>
        <v>0</v>
      </c>
      <c r="S20" s="21">
        <f>'BS (Bull-Case)'!S20-'BS (Base-Case)'!S20</f>
        <v>0</v>
      </c>
      <c r="T20" s="21">
        <f>'BS (Bull-Case)'!T20-'BS (Base-Case)'!T20</f>
        <v>0</v>
      </c>
      <c r="U20" s="21">
        <f>'BS (Bull-Case)'!U20-'BS (Base-Case)'!U20</f>
        <v>0</v>
      </c>
      <c r="V20" s="21">
        <f>'BS (Bull-Case)'!V20-'BS (Base-Case)'!V20</f>
        <v>0</v>
      </c>
      <c r="W20" s="22">
        <f>'BS (Bull-Case)'!W20-'BS (Base-Case)'!W20</f>
        <v>0</v>
      </c>
      <c r="X20" s="21">
        <f>'BS (Bull-Case)'!X20-'BS (Base-Case)'!X20</f>
        <v>27.404540466501203</v>
      </c>
      <c r="Y20" s="21">
        <f>'BS (Bull-Case)'!Y20-'BS (Base-Case)'!Y20</f>
        <v>40.581627952185954</v>
      </c>
      <c r="Z20" s="21">
        <f>'BS (Bull-Case)'!Z20-'BS (Base-Case)'!Z20</f>
        <v>60.482747135665704</v>
      </c>
      <c r="AA20" s="21">
        <f>'BS (Bull-Case)'!AA20-'BS (Base-Case)'!AA20</f>
        <v>75.917676196822867</v>
      </c>
      <c r="AB20" s="22">
        <f>'BS (Bull-Case)'!AB20-'BS (Base-Case)'!AB20</f>
        <v>75.917676196822867</v>
      </c>
      <c r="AC20" s="21">
        <f>'BS (Bull-Case)'!AC20-'BS (Base-Case)'!AC20</f>
        <v>132.78448189020855</v>
      </c>
      <c r="AD20" s="21">
        <f>'BS (Bull-Case)'!AD20-'BS (Base-Case)'!AD20</f>
        <v>173.03183165089285</v>
      </c>
      <c r="AE20" s="21">
        <f>'BS (Bull-Case)'!AE20-'BS (Base-Case)'!AE20</f>
        <v>226.23582843596523</v>
      </c>
      <c r="AF20" s="21">
        <f>'BS (Bull-Case)'!AF20-'BS (Base-Case)'!AF20</f>
        <v>270.10605152171411</v>
      </c>
      <c r="AG20" s="22">
        <f>'BS (Bull-Case)'!AG20-'BS (Base-Case)'!AG20</f>
        <v>270.10605152171411</v>
      </c>
      <c r="AH20" s="21">
        <f>'BS (Bull-Case)'!AH20-'BS (Base-Case)'!AH20</f>
        <v>365.82161082763196</v>
      </c>
      <c r="AI20" s="21">
        <f>'BS (Bull-Case)'!AI20-'BS (Base-Case)'!AI20</f>
        <v>440.43563812182401</v>
      </c>
      <c r="AJ20" s="21">
        <f>'BS (Bull-Case)'!AJ20-'BS (Base-Case)'!AJ20</f>
        <v>536.99392460128729</v>
      </c>
      <c r="AK20" s="21">
        <f>'BS (Bull-Case)'!AK20-'BS (Base-Case)'!AK20</f>
        <v>2062.3761201484449</v>
      </c>
      <c r="AL20" s="22">
        <f>'BS (Bull-Case)'!AL20-'BS (Base-Case)'!AL20</f>
        <v>2062.3761201484449</v>
      </c>
      <c r="AM20" s="21">
        <f>'BS (Bull-Case)'!AM20-'BS (Base-Case)'!AM20</f>
        <v>2143.1850205745905</v>
      </c>
      <c r="AN20" s="21">
        <f>'BS (Bull-Case)'!AN20-'BS (Base-Case)'!AN20</f>
        <v>2213.3583599893936</v>
      </c>
      <c r="AO20" s="21">
        <f>'BS (Bull-Case)'!AO20-'BS (Base-Case)'!AO20</f>
        <v>2299.9514766140855</v>
      </c>
      <c r="AP20" s="21">
        <f>'BS (Bull-Case)'!AP20-'BS (Base-Case)'!AP20</f>
        <v>2359.5015982044933</v>
      </c>
      <c r="AQ20" s="22">
        <f>'BS (Bull-Case)'!AQ20-'BS (Base-Case)'!AQ20</f>
        <v>2359.5015982044933</v>
      </c>
      <c r="AR20" s="21">
        <f>'BS (Bull-Case)'!AR20-'BS (Base-Case)'!AR20</f>
        <v>2430.0786501163602</v>
      </c>
      <c r="AS20" s="21">
        <f>'BS (Bull-Case)'!AS20-'BS (Base-Case)'!AS20</f>
        <v>2489.7167575829299</v>
      </c>
      <c r="AT20" s="21">
        <f>'BS (Bull-Case)'!AT20-'BS (Base-Case)'!AT20</f>
        <v>2574.1338523931772</v>
      </c>
      <c r="AU20" s="21">
        <f>'BS (Bull-Case)'!AU20-'BS (Base-Case)'!AU20</f>
        <v>2639.2089294067118</v>
      </c>
      <c r="AV20" s="22">
        <f>'BS (Bull-Case)'!AV20-'BS (Base-Case)'!AV20</f>
        <v>2639.2089294067118</v>
      </c>
    </row>
    <row r="21" spans="1:48" ht="17.399999999999999" x14ac:dyDescent="0.45">
      <c r="A21" s="161"/>
      <c r="B21" s="433" t="s">
        <v>228</v>
      </c>
      <c r="C21" s="434"/>
      <c r="D21" s="14" t="s">
        <v>19</v>
      </c>
      <c r="E21" s="14" t="s">
        <v>81</v>
      </c>
      <c r="F21" s="14" t="s">
        <v>85</v>
      </c>
      <c r="G21" s="14" t="s">
        <v>95</v>
      </c>
      <c r="H21" s="40" t="s">
        <v>96</v>
      </c>
      <c r="I21" s="14" t="s">
        <v>97</v>
      </c>
      <c r="J21" s="14" t="s">
        <v>98</v>
      </c>
      <c r="K21" s="14" t="s">
        <v>99</v>
      </c>
      <c r="L21" s="14" t="s">
        <v>142</v>
      </c>
      <c r="M21" s="40" t="s">
        <v>143</v>
      </c>
      <c r="N21" s="14" t="s">
        <v>149</v>
      </c>
      <c r="O21" s="14" t="s">
        <v>157</v>
      </c>
      <c r="P21" s="14" t="s">
        <v>159</v>
      </c>
      <c r="Q21" s="14" t="s">
        <v>172</v>
      </c>
      <c r="R21" s="40" t="s">
        <v>173</v>
      </c>
      <c r="S21" s="14" t="s">
        <v>188</v>
      </c>
      <c r="T21" s="14" t="s">
        <v>189</v>
      </c>
      <c r="U21" s="14" t="s">
        <v>204</v>
      </c>
      <c r="V21" s="12" t="s">
        <v>25</v>
      </c>
      <c r="W21" s="42" t="s">
        <v>26</v>
      </c>
      <c r="X21" s="12" t="s">
        <v>27</v>
      </c>
      <c r="Y21" s="12" t="s">
        <v>28</v>
      </c>
      <c r="Z21" s="12" t="s">
        <v>29</v>
      </c>
      <c r="AA21" s="12" t="s">
        <v>30</v>
      </c>
      <c r="AB21" s="42" t="s">
        <v>31</v>
      </c>
      <c r="AC21" s="12" t="s">
        <v>90</v>
      </c>
      <c r="AD21" s="12" t="s">
        <v>91</v>
      </c>
      <c r="AE21" s="12" t="s">
        <v>92</v>
      </c>
      <c r="AF21" s="12" t="s">
        <v>93</v>
      </c>
      <c r="AG21" s="42" t="s">
        <v>94</v>
      </c>
      <c r="AH21" s="12" t="s">
        <v>109</v>
      </c>
      <c r="AI21" s="12" t="s">
        <v>110</v>
      </c>
      <c r="AJ21" s="12" t="s">
        <v>111</v>
      </c>
      <c r="AK21" s="12" t="s">
        <v>112</v>
      </c>
      <c r="AL21" s="42" t="s">
        <v>113</v>
      </c>
      <c r="AM21" s="12" t="s">
        <v>164</v>
      </c>
      <c r="AN21" s="12" t="s">
        <v>165</v>
      </c>
      <c r="AO21" s="12" t="s">
        <v>166</v>
      </c>
      <c r="AP21" s="12" t="s">
        <v>167</v>
      </c>
      <c r="AQ21" s="42" t="s">
        <v>168</v>
      </c>
      <c r="AR21" s="12" t="s">
        <v>195</v>
      </c>
      <c r="AS21" s="12" t="s">
        <v>196</v>
      </c>
      <c r="AT21" s="12" t="s">
        <v>197</v>
      </c>
      <c r="AU21" s="12" t="s">
        <v>198</v>
      </c>
      <c r="AV21" s="42" t="s">
        <v>199</v>
      </c>
    </row>
    <row r="22" spans="1:48" s="23" customFormat="1" outlineLevel="1" x14ac:dyDescent="0.3">
      <c r="A22" s="161"/>
      <c r="B22" s="435" t="s">
        <v>229</v>
      </c>
      <c r="C22" s="436"/>
      <c r="D22" s="101">
        <f>'BS (Bull-Case)'!D22-'BS (Base-Case)'!D22</f>
        <v>0</v>
      </c>
      <c r="E22" s="101">
        <f>'BS (Bull-Case)'!E22-'BS (Base-Case)'!E22</f>
        <v>0</v>
      </c>
      <c r="F22" s="101">
        <f>'BS (Bull-Case)'!F22-'BS (Base-Case)'!F22</f>
        <v>0</v>
      </c>
      <c r="G22" s="101">
        <f>'BS (Bull-Case)'!G22-'BS (Base-Case)'!G22</f>
        <v>0</v>
      </c>
      <c r="H22" s="169">
        <f>'BS (Bull-Case)'!H22-'BS (Base-Case)'!H22</f>
        <v>0</v>
      </c>
      <c r="I22" s="101">
        <f>'BS (Bull-Case)'!I22-'BS (Base-Case)'!I22</f>
        <v>0</v>
      </c>
      <c r="J22" s="101">
        <f>'BS (Bull-Case)'!J22-'BS (Base-Case)'!J22</f>
        <v>0</v>
      </c>
      <c r="K22" s="101">
        <f>'BS (Bull-Case)'!K22-'BS (Base-Case)'!K22</f>
        <v>0</v>
      </c>
      <c r="L22" s="101">
        <f>'BS (Bull-Case)'!L22-'BS (Base-Case)'!L22</f>
        <v>0</v>
      </c>
      <c r="M22" s="169">
        <f>'BS (Bull-Case)'!M22-'BS (Base-Case)'!M22</f>
        <v>0</v>
      </c>
      <c r="N22" s="101">
        <f>'BS (Bull-Case)'!N22-'BS (Base-Case)'!N22</f>
        <v>0</v>
      </c>
      <c r="O22" s="101">
        <f>'BS (Bull-Case)'!O22-'BS (Base-Case)'!O22</f>
        <v>0</v>
      </c>
      <c r="P22" s="101">
        <f>'BS (Bull-Case)'!P22-'BS (Base-Case)'!P22</f>
        <v>0</v>
      </c>
      <c r="Q22" s="101">
        <f>'BS (Bull-Case)'!Q22-'BS (Base-Case)'!Q22</f>
        <v>0</v>
      </c>
      <c r="R22" s="169">
        <f>'BS (Bull-Case)'!R22-'BS (Base-Case)'!R22</f>
        <v>0</v>
      </c>
      <c r="S22" s="101">
        <f>'BS (Bull-Case)'!S22-'BS (Base-Case)'!S22</f>
        <v>0</v>
      </c>
      <c r="T22" s="101">
        <f>'BS (Bull-Case)'!T22-'BS (Base-Case)'!T22</f>
        <v>0</v>
      </c>
      <c r="U22" s="101">
        <f>'BS (Bull-Case)'!U22-'BS (Base-Case)'!U22</f>
        <v>0</v>
      </c>
      <c r="V22" s="101">
        <f>'BS (Bull-Case)'!V22-'BS (Base-Case)'!V22</f>
        <v>0</v>
      </c>
      <c r="W22" s="169">
        <f>'BS (Bull-Case)'!W22-'BS (Base-Case)'!W22</f>
        <v>0</v>
      </c>
      <c r="X22" s="101">
        <f>'BS (Bull-Case)'!X22-'BS (Base-Case)'!X22</f>
        <v>12.846533383100677</v>
      </c>
      <c r="Y22" s="101">
        <f>'BS (Bull-Case)'!Y22-'BS (Base-Case)'!Y22</f>
        <v>12.638921846425319</v>
      </c>
      <c r="Z22" s="101">
        <f>'BS (Bull-Case)'!Z22-'BS (Base-Case)'!Z22</f>
        <v>14.729245418938945</v>
      </c>
      <c r="AA22" s="101">
        <f>'BS (Bull-Case)'!AA22-'BS (Base-Case)'!AA22</f>
        <v>12.706641652006056</v>
      </c>
      <c r="AB22" s="169">
        <f>'BS (Bull-Case)'!AB22-'BS (Base-Case)'!AB22</f>
        <v>12.706641652006056</v>
      </c>
      <c r="AC22" s="101">
        <f>'BS (Bull-Case)'!AC22-'BS (Base-Case)'!AC22</f>
        <v>23.955776291938719</v>
      </c>
      <c r="AD22" s="101">
        <f>'BS (Bull-Case)'!AD22-'BS (Base-Case)'!AD22</f>
        <v>24.500789072548969</v>
      </c>
      <c r="AE22" s="101">
        <f>'BS (Bull-Case)'!AE22-'BS (Base-Case)'!AE22</f>
        <v>27.449042199469886</v>
      </c>
      <c r="AF22" s="101">
        <f>'BS (Bull-Case)'!AF22-'BS (Base-Case)'!AF22</f>
        <v>25.021339888494367</v>
      </c>
      <c r="AG22" s="169">
        <f>'BS (Bull-Case)'!AG22-'BS (Base-Case)'!AG22</f>
        <v>25.021339888494367</v>
      </c>
      <c r="AH22" s="101">
        <f>'BS (Bull-Case)'!AH22-'BS (Base-Case)'!AH22</f>
        <v>37.461178369945173</v>
      </c>
      <c r="AI22" s="101">
        <f>'BS (Bull-Case)'!AI22-'BS (Base-Case)'!AI22</f>
        <v>38.714723715926084</v>
      </c>
      <c r="AJ22" s="101">
        <f>'BS (Bull-Case)'!AJ22-'BS (Base-Case)'!AJ22</f>
        <v>43.960600063751144</v>
      </c>
      <c r="AK22" s="101">
        <f>'BS (Bull-Case)'!AK22-'BS (Base-Case)'!AK22</f>
        <v>39.67047152237501</v>
      </c>
      <c r="AL22" s="169">
        <f>'BS (Bull-Case)'!AL22-'BS (Base-Case)'!AL22</f>
        <v>39.67047152237501</v>
      </c>
      <c r="AM22" s="101">
        <f>'BS (Bull-Case)'!AM22-'BS (Base-Case)'!AM22</f>
        <v>40.578647089667811</v>
      </c>
      <c r="AN22" s="101">
        <f>'BS (Bull-Case)'!AN22-'BS (Base-Case)'!AN22</f>
        <v>41.715058322508185</v>
      </c>
      <c r="AO22" s="101">
        <f>'BS (Bull-Case)'!AO22-'BS (Base-Case)'!AO22</f>
        <v>47.273651433982195</v>
      </c>
      <c r="AP22" s="101">
        <f>'BS (Bull-Case)'!AP22-'BS (Base-Case)'!AP22</f>
        <v>42.786387948277252</v>
      </c>
      <c r="AQ22" s="169">
        <f>'BS (Bull-Case)'!AQ22-'BS (Base-Case)'!AQ22</f>
        <v>42.786387948277252</v>
      </c>
      <c r="AR22" s="101">
        <f>'BS (Bull-Case)'!AR22-'BS (Base-Case)'!AR22</f>
        <v>43.264984754886427</v>
      </c>
      <c r="AS22" s="101">
        <f>'BS (Bull-Case)'!AS22-'BS (Base-Case)'!AS22</f>
        <v>44.507796673730809</v>
      </c>
      <c r="AT22" s="101">
        <f>'BS (Bull-Case)'!AT22-'BS (Base-Case)'!AT22</f>
        <v>50.200394020688236</v>
      </c>
      <c r="AU22" s="101">
        <f>'BS (Bull-Case)'!AU22-'BS (Base-Case)'!AU22</f>
        <v>45.508873123607373</v>
      </c>
      <c r="AV22" s="169">
        <f>'BS (Bull-Case)'!AV22-'BS (Base-Case)'!AV22</f>
        <v>45.508873123607373</v>
      </c>
    </row>
    <row r="23" spans="1:48" outlineLevel="1" x14ac:dyDescent="0.3">
      <c r="A23" s="161"/>
      <c r="B23" s="435" t="s">
        <v>230</v>
      </c>
      <c r="C23" s="436"/>
      <c r="D23" s="101">
        <f>'BS (Bull-Case)'!D23-'BS (Base-Case)'!D23</f>
        <v>0</v>
      </c>
      <c r="E23" s="101">
        <f>'BS (Bull-Case)'!E23-'BS (Base-Case)'!E23</f>
        <v>0</v>
      </c>
      <c r="F23" s="101">
        <f>'BS (Bull-Case)'!F23-'BS (Base-Case)'!F23</f>
        <v>0</v>
      </c>
      <c r="G23" s="101">
        <f>'BS (Bull-Case)'!G23-'BS (Base-Case)'!G23</f>
        <v>0</v>
      </c>
      <c r="H23" s="169">
        <f>'BS (Bull-Case)'!H23-'BS (Base-Case)'!H23</f>
        <v>0</v>
      </c>
      <c r="I23" s="101">
        <f>'BS (Bull-Case)'!I23-'BS (Base-Case)'!I23</f>
        <v>0</v>
      </c>
      <c r="J23" s="101">
        <f>'BS (Bull-Case)'!J23-'BS (Base-Case)'!J23</f>
        <v>0</v>
      </c>
      <c r="K23" s="101">
        <f>'BS (Bull-Case)'!K23-'BS (Base-Case)'!K23</f>
        <v>0</v>
      </c>
      <c r="L23" s="101">
        <f>'BS (Bull-Case)'!L23-'BS (Base-Case)'!L23</f>
        <v>0</v>
      </c>
      <c r="M23" s="169">
        <f>'BS (Bull-Case)'!M23-'BS (Base-Case)'!M23</f>
        <v>0</v>
      </c>
      <c r="N23" s="101">
        <f>'BS (Bull-Case)'!N23-'BS (Base-Case)'!N23</f>
        <v>0</v>
      </c>
      <c r="O23" s="101">
        <f>'BS (Bull-Case)'!O23-'BS (Base-Case)'!O23</f>
        <v>0</v>
      </c>
      <c r="P23" s="101">
        <f>'BS (Bull-Case)'!P23-'BS (Base-Case)'!P23</f>
        <v>0</v>
      </c>
      <c r="Q23" s="101">
        <f>'BS (Bull-Case)'!Q23-'BS (Base-Case)'!Q23</f>
        <v>0</v>
      </c>
      <c r="R23" s="169">
        <f>'BS (Bull-Case)'!R23-'BS (Base-Case)'!R23</f>
        <v>0</v>
      </c>
      <c r="S23" s="101">
        <f>'BS (Bull-Case)'!S23-'BS (Base-Case)'!S23</f>
        <v>0</v>
      </c>
      <c r="T23" s="101">
        <f>'BS (Bull-Case)'!T23-'BS (Base-Case)'!T23</f>
        <v>0</v>
      </c>
      <c r="U23" s="101">
        <f>'BS (Bull-Case)'!U23-'BS (Base-Case)'!U23</f>
        <v>0</v>
      </c>
      <c r="V23" s="33">
        <f>'BS (Bull-Case)'!V23-'BS (Base-Case)'!V23</f>
        <v>0</v>
      </c>
      <c r="W23" s="169">
        <f>'BS (Bull-Case)'!W23-'BS (Base-Case)'!W23</f>
        <v>0</v>
      </c>
      <c r="X23" s="33">
        <f>'BS (Bull-Case)'!X23-'BS (Base-Case)'!X23</f>
        <v>0</v>
      </c>
      <c r="Y23" s="33">
        <f>'BS (Bull-Case)'!Y23-'BS (Base-Case)'!Y23</f>
        <v>0</v>
      </c>
      <c r="Z23" s="33">
        <f>'BS (Bull-Case)'!Z23-'BS (Base-Case)'!Z23</f>
        <v>0</v>
      </c>
      <c r="AA23" s="33">
        <f>'BS (Bull-Case)'!AA23-'BS (Base-Case)'!AA23</f>
        <v>0</v>
      </c>
      <c r="AB23" s="169">
        <f>'BS (Bull-Case)'!AB23-'BS (Base-Case)'!AB23</f>
        <v>0</v>
      </c>
      <c r="AC23" s="33">
        <f>'BS (Bull-Case)'!AC23-'BS (Base-Case)'!AC23</f>
        <v>0</v>
      </c>
      <c r="AD23" s="33">
        <f>'BS (Bull-Case)'!AD23-'BS (Base-Case)'!AD23</f>
        <v>0</v>
      </c>
      <c r="AE23" s="33">
        <f>'BS (Bull-Case)'!AE23-'BS (Base-Case)'!AE23</f>
        <v>0</v>
      </c>
      <c r="AF23" s="33">
        <f>'BS (Bull-Case)'!AF23-'BS (Base-Case)'!AF23</f>
        <v>0</v>
      </c>
      <c r="AG23" s="169">
        <f>'BS (Bull-Case)'!AG23-'BS (Base-Case)'!AG23</f>
        <v>0</v>
      </c>
      <c r="AH23" s="33">
        <f>'BS (Bull-Case)'!AH23-'BS (Base-Case)'!AH23</f>
        <v>0</v>
      </c>
      <c r="AI23" s="33">
        <f>'BS (Bull-Case)'!AI23-'BS (Base-Case)'!AI23</f>
        <v>0</v>
      </c>
      <c r="AJ23" s="33">
        <f>'BS (Bull-Case)'!AJ23-'BS (Base-Case)'!AJ23</f>
        <v>0</v>
      </c>
      <c r="AK23" s="33">
        <f>'BS (Bull-Case)'!AK23-'BS (Base-Case)'!AK23</f>
        <v>0</v>
      </c>
      <c r="AL23" s="169">
        <f>'BS (Bull-Case)'!AL23-'BS (Base-Case)'!AL23</f>
        <v>0</v>
      </c>
      <c r="AM23" s="33">
        <f>'BS (Bull-Case)'!AM23-'BS (Base-Case)'!AM23</f>
        <v>0</v>
      </c>
      <c r="AN23" s="33">
        <f>'BS (Bull-Case)'!AN23-'BS (Base-Case)'!AN23</f>
        <v>0</v>
      </c>
      <c r="AO23" s="33">
        <f>'BS (Bull-Case)'!AO23-'BS (Base-Case)'!AO23</f>
        <v>0</v>
      </c>
      <c r="AP23" s="33">
        <f>'BS (Bull-Case)'!AP23-'BS (Base-Case)'!AP23</f>
        <v>0</v>
      </c>
      <c r="AQ23" s="169">
        <f>'BS (Bull-Case)'!AQ23-'BS (Base-Case)'!AQ23</f>
        <v>0</v>
      </c>
      <c r="AR23" s="33">
        <f>'BS (Bull-Case)'!AR23-'BS (Base-Case)'!AR23</f>
        <v>0</v>
      </c>
      <c r="AS23" s="33">
        <f>'BS (Bull-Case)'!AS23-'BS (Base-Case)'!AS23</f>
        <v>0</v>
      </c>
      <c r="AT23" s="33">
        <f>'BS (Bull-Case)'!AT23-'BS (Base-Case)'!AT23</f>
        <v>0</v>
      </c>
      <c r="AU23" s="33">
        <f>'BS (Bull-Case)'!AU23-'BS (Base-Case)'!AU23</f>
        <v>0</v>
      </c>
      <c r="AV23" s="169">
        <f>'BS (Bull-Case)'!AV23-'BS (Base-Case)'!AV23</f>
        <v>0</v>
      </c>
    </row>
    <row r="24" spans="1:48" outlineLevel="1" x14ac:dyDescent="0.3">
      <c r="A24" s="161"/>
      <c r="B24" s="200" t="s">
        <v>231</v>
      </c>
      <c r="C24" s="201"/>
      <c r="D24" s="101">
        <f>'BS (Bull-Case)'!D24-'BS (Base-Case)'!D24</f>
        <v>0</v>
      </c>
      <c r="E24" s="101">
        <f>'BS (Bull-Case)'!E24-'BS (Base-Case)'!E24</f>
        <v>0</v>
      </c>
      <c r="F24" s="101">
        <f>'BS (Bull-Case)'!F24-'BS (Base-Case)'!F24</f>
        <v>0</v>
      </c>
      <c r="G24" s="101">
        <f>'BS (Bull-Case)'!G24-'BS (Base-Case)'!G24</f>
        <v>0</v>
      </c>
      <c r="H24" s="169">
        <f>'BS (Bull-Case)'!H24-'BS (Base-Case)'!H24</f>
        <v>0</v>
      </c>
      <c r="I24" s="101">
        <f>'BS (Bull-Case)'!I24-'BS (Base-Case)'!I24</f>
        <v>0</v>
      </c>
      <c r="J24" s="101">
        <f>'BS (Bull-Case)'!J24-'BS (Base-Case)'!J24</f>
        <v>0</v>
      </c>
      <c r="K24" s="101">
        <f>'BS (Bull-Case)'!K24-'BS (Base-Case)'!K24</f>
        <v>0</v>
      </c>
      <c r="L24" s="101">
        <f>'BS (Bull-Case)'!L24-'BS (Base-Case)'!L24</f>
        <v>0</v>
      </c>
      <c r="M24" s="169">
        <f>'BS (Bull-Case)'!M24-'BS (Base-Case)'!M24</f>
        <v>0</v>
      </c>
      <c r="N24" s="101">
        <f>'BS (Bull-Case)'!N24-'BS (Base-Case)'!N24</f>
        <v>0</v>
      </c>
      <c r="O24" s="101">
        <f>'BS (Bull-Case)'!O24-'BS (Base-Case)'!O24</f>
        <v>0</v>
      </c>
      <c r="P24" s="101">
        <f>'BS (Bull-Case)'!P24-'BS (Base-Case)'!P24</f>
        <v>0</v>
      </c>
      <c r="Q24" s="101">
        <f>'BS (Bull-Case)'!Q24-'BS (Base-Case)'!Q24</f>
        <v>0</v>
      </c>
      <c r="R24" s="169">
        <f>'BS (Bull-Case)'!R24-'BS (Base-Case)'!R24</f>
        <v>0</v>
      </c>
      <c r="S24" s="101">
        <f>'BS (Bull-Case)'!S24-'BS (Base-Case)'!S24</f>
        <v>0</v>
      </c>
      <c r="T24" s="101">
        <f>'BS (Bull-Case)'!T24-'BS (Base-Case)'!T24</f>
        <v>0</v>
      </c>
      <c r="U24" s="101">
        <f>'BS (Bull-Case)'!U24-'BS (Base-Case)'!U24</f>
        <v>0</v>
      </c>
      <c r="V24" s="33">
        <f>'BS (Bull-Case)'!V24-'BS (Base-Case)'!V24</f>
        <v>0</v>
      </c>
      <c r="W24" s="169">
        <f>'BS (Bull-Case)'!W24-'BS (Base-Case)'!W24</f>
        <v>0</v>
      </c>
      <c r="X24" s="33">
        <f>'BS (Bull-Case)'!X24-'BS (Base-Case)'!X24</f>
        <v>0</v>
      </c>
      <c r="Y24" s="33">
        <f>'BS (Bull-Case)'!Y24-'BS (Base-Case)'!Y24</f>
        <v>0</v>
      </c>
      <c r="Z24" s="33">
        <f>'BS (Bull-Case)'!Z24-'BS (Base-Case)'!Z24</f>
        <v>0</v>
      </c>
      <c r="AA24" s="33">
        <f>'BS (Bull-Case)'!AA24-'BS (Base-Case)'!AA24</f>
        <v>0</v>
      </c>
      <c r="AB24" s="169">
        <f>'BS (Bull-Case)'!AB24-'BS (Base-Case)'!AB24</f>
        <v>0</v>
      </c>
      <c r="AC24" s="33">
        <f>'BS (Bull-Case)'!AC24-'BS (Base-Case)'!AC24</f>
        <v>0</v>
      </c>
      <c r="AD24" s="33">
        <f>'BS (Bull-Case)'!AD24-'BS (Base-Case)'!AD24</f>
        <v>0</v>
      </c>
      <c r="AE24" s="33">
        <f>'BS (Bull-Case)'!AE24-'BS (Base-Case)'!AE24</f>
        <v>0</v>
      </c>
      <c r="AF24" s="33">
        <f>'BS (Bull-Case)'!AF24-'BS (Base-Case)'!AF24</f>
        <v>0</v>
      </c>
      <c r="AG24" s="169">
        <f>'BS (Bull-Case)'!AG24-'BS (Base-Case)'!AG24</f>
        <v>0</v>
      </c>
      <c r="AH24" s="33">
        <f>'BS (Bull-Case)'!AH24-'BS (Base-Case)'!AH24</f>
        <v>0</v>
      </c>
      <c r="AI24" s="33">
        <f>'BS (Bull-Case)'!AI24-'BS (Base-Case)'!AI24</f>
        <v>0</v>
      </c>
      <c r="AJ24" s="33">
        <f>'BS (Bull-Case)'!AJ24-'BS (Base-Case)'!AJ24</f>
        <v>0</v>
      </c>
      <c r="AK24" s="33">
        <f>'BS (Bull-Case)'!AK24-'BS (Base-Case)'!AK24</f>
        <v>0</v>
      </c>
      <c r="AL24" s="169">
        <f>'BS (Bull-Case)'!AL24-'BS (Base-Case)'!AL24</f>
        <v>0</v>
      </c>
      <c r="AM24" s="33">
        <f>'BS (Bull-Case)'!AM24-'BS (Base-Case)'!AM24</f>
        <v>0</v>
      </c>
      <c r="AN24" s="33">
        <f>'BS (Bull-Case)'!AN24-'BS (Base-Case)'!AN24</f>
        <v>0</v>
      </c>
      <c r="AO24" s="33">
        <f>'BS (Bull-Case)'!AO24-'BS (Base-Case)'!AO24</f>
        <v>0</v>
      </c>
      <c r="AP24" s="33">
        <f>'BS (Bull-Case)'!AP24-'BS (Base-Case)'!AP24</f>
        <v>0</v>
      </c>
      <c r="AQ24" s="169">
        <f>'BS (Bull-Case)'!AQ24-'BS (Base-Case)'!AQ24</f>
        <v>0</v>
      </c>
      <c r="AR24" s="33">
        <f>'BS (Bull-Case)'!AR24-'BS (Base-Case)'!AR24</f>
        <v>0</v>
      </c>
      <c r="AS24" s="33">
        <f>'BS (Bull-Case)'!AS24-'BS (Base-Case)'!AS24</f>
        <v>0</v>
      </c>
      <c r="AT24" s="33">
        <f>'BS (Bull-Case)'!AT24-'BS (Base-Case)'!AT24</f>
        <v>0</v>
      </c>
      <c r="AU24" s="33">
        <f>'BS (Bull-Case)'!AU24-'BS (Base-Case)'!AU24</f>
        <v>0</v>
      </c>
      <c r="AV24" s="169">
        <f>'BS (Bull-Case)'!AV24-'BS (Base-Case)'!AV24</f>
        <v>0</v>
      </c>
    </row>
    <row r="25" spans="1:48" outlineLevel="1" x14ac:dyDescent="0.3">
      <c r="A25" s="161"/>
      <c r="B25" s="200" t="s">
        <v>232</v>
      </c>
      <c r="C25" s="201"/>
      <c r="D25" s="101">
        <f>'BS (Bull-Case)'!D25-'BS (Base-Case)'!D25</f>
        <v>0</v>
      </c>
      <c r="E25" s="101">
        <f>'BS (Bull-Case)'!E25-'BS (Base-Case)'!E25</f>
        <v>0</v>
      </c>
      <c r="F25" s="101">
        <f>'BS (Bull-Case)'!F25-'BS (Base-Case)'!F25</f>
        <v>0</v>
      </c>
      <c r="G25" s="101">
        <f>'BS (Bull-Case)'!G25-'BS (Base-Case)'!G25</f>
        <v>0</v>
      </c>
      <c r="H25" s="169">
        <f>'BS (Bull-Case)'!H25-'BS (Base-Case)'!H25</f>
        <v>0</v>
      </c>
      <c r="I25" s="101">
        <f>'BS (Bull-Case)'!I25-'BS (Base-Case)'!I25</f>
        <v>0</v>
      </c>
      <c r="J25" s="101">
        <f>'BS (Bull-Case)'!J25-'BS (Base-Case)'!J25</f>
        <v>0</v>
      </c>
      <c r="K25" s="101">
        <f>'BS (Bull-Case)'!K25-'BS (Base-Case)'!K25</f>
        <v>0</v>
      </c>
      <c r="L25" s="101">
        <f>'BS (Bull-Case)'!L25-'BS (Base-Case)'!L25</f>
        <v>0</v>
      </c>
      <c r="M25" s="169">
        <f>'BS (Bull-Case)'!M25-'BS (Base-Case)'!M25</f>
        <v>0</v>
      </c>
      <c r="N25" s="101">
        <f>'BS (Bull-Case)'!N25-'BS (Base-Case)'!N25</f>
        <v>0</v>
      </c>
      <c r="O25" s="101">
        <f>'BS (Bull-Case)'!O25-'BS (Base-Case)'!O25</f>
        <v>0</v>
      </c>
      <c r="P25" s="101">
        <f>'BS (Bull-Case)'!P25-'BS (Base-Case)'!P25</f>
        <v>0</v>
      </c>
      <c r="Q25" s="101">
        <f>'BS (Bull-Case)'!Q25-'BS (Base-Case)'!Q25</f>
        <v>0</v>
      </c>
      <c r="R25" s="169">
        <f>'BS (Bull-Case)'!R25-'BS (Base-Case)'!R25</f>
        <v>0</v>
      </c>
      <c r="S25" s="101">
        <f>'BS (Bull-Case)'!S25-'BS (Base-Case)'!S25</f>
        <v>0</v>
      </c>
      <c r="T25" s="101">
        <f>'BS (Bull-Case)'!T25-'BS (Base-Case)'!T25</f>
        <v>0</v>
      </c>
      <c r="U25" s="101">
        <f>'BS (Bull-Case)'!U25-'BS (Base-Case)'!U25</f>
        <v>0</v>
      </c>
      <c r="V25" s="33">
        <f>'BS (Bull-Case)'!V25-'BS (Base-Case)'!V25</f>
        <v>0</v>
      </c>
      <c r="W25" s="169">
        <f>'BS (Bull-Case)'!W25-'BS (Base-Case)'!W25</f>
        <v>0</v>
      </c>
      <c r="X25" s="33">
        <f>'BS (Bull-Case)'!X25-'BS (Base-Case)'!X25</f>
        <v>0</v>
      </c>
      <c r="Y25" s="33">
        <f>'BS (Bull-Case)'!Y25-'BS (Base-Case)'!Y25</f>
        <v>0</v>
      </c>
      <c r="Z25" s="33">
        <f>'BS (Bull-Case)'!Z25-'BS (Base-Case)'!Z25</f>
        <v>0</v>
      </c>
      <c r="AA25" s="33">
        <f>'BS (Bull-Case)'!AA25-'BS (Base-Case)'!AA25</f>
        <v>0</v>
      </c>
      <c r="AB25" s="169">
        <f>'BS (Bull-Case)'!AB25-'BS (Base-Case)'!AB25</f>
        <v>0</v>
      </c>
      <c r="AC25" s="33">
        <f>'BS (Bull-Case)'!AC25-'BS (Base-Case)'!AC25</f>
        <v>0</v>
      </c>
      <c r="AD25" s="33">
        <f>'BS (Bull-Case)'!AD25-'BS (Base-Case)'!AD25</f>
        <v>0</v>
      </c>
      <c r="AE25" s="33">
        <f>'BS (Bull-Case)'!AE25-'BS (Base-Case)'!AE25</f>
        <v>0</v>
      </c>
      <c r="AF25" s="33">
        <f>'BS (Bull-Case)'!AF25-'BS (Base-Case)'!AF25</f>
        <v>0</v>
      </c>
      <c r="AG25" s="169">
        <f>'BS (Bull-Case)'!AG25-'BS (Base-Case)'!AG25</f>
        <v>0</v>
      </c>
      <c r="AH25" s="33">
        <f>'BS (Bull-Case)'!AH25-'BS (Base-Case)'!AH25</f>
        <v>0</v>
      </c>
      <c r="AI25" s="33">
        <f>'BS (Bull-Case)'!AI25-'BS (Base-Case)'!AI25</f>
        <v>0</v>
      </c>
      <c r="AJ25" s="33">
        <f>'BS (Bull-Case)'!AJ25-'BS (Base-Case)'!AJ25</f>
        <v>0</v>
      </c>
      <c r="AK25" s="33">
        <f>'BS (Bull-Case)'!AK25-'BS (Base-Case)'!AK25</f>
        <v>0</v>
      </c>
      <c r="AL25" s="169">
        <f>'BS (Bull-Case)'!AL25-'BS (Base-Case)'!AL25</f>
        <v>0</v>
      </c>
      <c r="AM25" s="33">
        <f>'BS (Bull-Case)'!AM25-'BS (Base-Case)'!AM25</f>
        <v>0</v>
      </c>
      <c r="AN25" s="33">
        <f>'BS (Bull-Case)'!AN25-'BS (Base-Case)'!AN25</f>
        <v>0</v>
      </c>
      <c r="AO25" s="33">
        <f>'BS (Bull-Case)'!AO25-'BS (Base-Case)'!AO25</f>
        <v>0</v>
      </c>
      <c r="AP25" s="33">
        <f>'BS (Bull-Case)'!AP25-'BS (Base-Case)'!AP25</f>
        <v>0</v>
      </c>
      <c r="AQ25" s="169">
        <f>'BS (Bull-Case)'!AQ25-'BS (Base-Case)'!AQ25</f>
        <v>0</v>
      </c>
      <c r="AR25" s="33">
        <f>'BS (Bull-Case)'!AR25-'BS (Base-Case)'!AR25</f>
        <v>0</v>
      </c>
      <c r="AS25" s="33">
        <f>'BS (Bull-Case)'!AS25-'BS (Base-Case)'!AS25</f>
        <v>0</v>
      </c>
      <c r="AT25" s="33">
        <f>'BS (Bull-Case)'!AT25-'BS (Base-Case)'!AT25</f>
        <v>0</v>
      </c>
      <c r="AU25" s="33">
        <f>'BS (Bull-Case)'!AU25-'BS (Base-Case)'!AU25</f>
        <v>0</v>
      </c>
      <c r="AV25" s="169">
        <f>'BS (Bull-Case)'!AV25-'BS (Base-Case)'!AV25</f>
        <v>0</v>
      </c>
    </row>
    <row r="26" spans="1:48" outlineLevel="1" x14ac:dyDescent="0.3">
      <c r="A26" s="161"/>
      <c r="B26" s="200" t="s">
        <v>233</v>
      </c>
      <c r="C26" s="201"/>
      <c r="D26" s="101">
        <f>'BS (Bull-Case)'!D26-'BS (Base-Case)'!D26</f>
        <v>0</v>
      </c>
      <c r="E26" s="101">
        <f>'BS (Bull-Case)'!E26-'BS (Base-Case)'!E26</f>
        <v>0</v>
      </c>
      <c r="F26" s="101">
        <f>'BS (Bull-Case)'!F26-'BS (Base-Case)'!F26</f>
        <v>0</v>
      </c>
      <c r="G26" s="101">
        <f>'BS (Bull-Case)'!G26-'BS (Base-Case)'!G26</f>
        <v>0</v>
      </c>
      <c r="H26" s="169">
        <f>'BS (Bull-Case)'!H26-'BS (Base-Case)'!H26</f>
        <v>0</v>
      </c>
      <c r="I26" s="101">
        <f>'BS (Bull-Case)'!I26-'BS (Base-Case)'!I26</f>
        <v>0</v>
      </c>
      <c r="J26" s="101">
        <f>'BS (Bull-Case)'!J26-'BS (Base-Case)'!J26</f>
        <v>0</v>
      </c>
      <c r="K26" s="101">
        <f>'BS (Bull-Case)'!K26-'BS (Base-Case)'!K26</f>
        <v>0</v>
      </c>
      <c r="L26" s="101">
        <f>'BS (Bull-Case)'!L26-'BS (Base-Case)'!L26</f>
        <v>0</v>
      </c>
      <c r="M26" s="169">
        <f>'BS (Bull-Case)'!M26-'BS (Base-Case)'!M26</f>
        <v>0</v>
      </c>
      <c r="N26" s="101">
        <f>'BS (Bull-Case)'!N26-'BS (Base-Case)'!N26</f>
        <v>0</v>
      </c>
      <c r="O26" s="101">
        <f>'BS (Bull-Case)'!O26-'BS (Base-Case)'!O26</f>
        <v>0</v>
      </c>
      <c r="P26" s="101">
        <f>'BS (Bull-Case)'!P26-'BS (Base-Case)'!P26</f>
        <v>0</v>
      </c>
      <c r="Q26" s="101">
        <f>'BS (Bull-Case)'!Q26-'BS (Base-Case)'!Q26</f>
        <v>0</v>
      </c>
      <c r="R26" s="169">
        <f>'BS (Bull-Case)'!R26-'BS (Base-Case)'!R26</f>
        <v>0</v>
      </c>
      <c r="S26" s="101">
        <f>'BS (Bull-Case)'!S26-'BS (Base-Case)'!S26</f>
        <v>0</v>
      </c>
      <c r="T26" s="101">
        <f>'BS (Bull-Case)'!T26-'BS (Base-Case)'!T26</f>
        <v>0</v>
      </c>
      <c r="U26" s="101">
        <f>'BS (Bull-Case)'!U26-'BS (Base-Case)'!U26</f>
        <v>0</v>
      </c>
      <c r="V26" s="33">
        <f>'BS (Bull-Case)'!V26-'BS (Base-Case)'!V26</f>
        <v>0</v>
      </c>
      <c r="W26" s="169">
        <f>'BS (Bull-Case)'!W26-'BS (Base-Case)'!W26</f>
        <v>0</v>
      </c>
      <c r="X26" s="33">
        <f>'BS (Bull-Case)'!X26-'BS (Base-Case)'!X26</f>
        <v>0</v>
      </c>
      <c r="Y26" s="33">
        <f>'BS (Bull-Case)'!Y26-'BS (Base-Case)'!Y26</f>
        <v>0</v>
      </c>
      <c r="Z26" s="33">
        <f>'BS (Bull-Case)'!Z26-'BS (Base-Case)'!Z26</f>
        <v>0</v>
      </c>
      <c r="AA26" s="33">
        <f>'BS (Bull-Case)'!AA26-'BS (Base-Case)'!AA26</f>
        <v>0</v>
      </c>
      <c r="AB26" s="169">
        <f>'BS (Bull-Case)'!AB26-'BS (Base-Case)'!AB26</f>
        <v>0</v>
      </c>
      <c r="AC26" s="33">
        <f>'BS (Bull-Case)'!AC26-'BS (Base-Case)'!AC26</f>
        <v>0</v>
      </c>
      <c r="AD26" s="33">
        <f>'BS (Bull-Case)'!AD26-'BS (Base-Case)'!AD26</f>
        <v>0</v>
      </c>
      <c r="AE26" s="33">
        <f>'BS (Bull-Case)'!AE26-'BS (Base-Case)'!AE26</f>
        <v>0</v>
      </c>
      <c r="AF26" s="33">
        <f>'BS (Bull-Case)'!AF26-'BS (Base-Case)'!AF26</f>
        <v>0</v>
      </c>
      <c r="AG26" s="169">
        <f>'BS (Bull-Case)'!AG26-'BS (Base-Case)'!AG26</f>
        <v>0</v>
      </c>
      <c r="AH26" s="33">
        <f>'BS (Bull-Case)'!AH26-'BS (Base-Case)'!AH26</f>
        <v>0</v>
      </c>
      <c r="AI26" s="33">
        <f>'BS (Bull-Case)'!AI26-'BS (Base-Case)'!AI26</f>
        <v>0</v>
      </c>
      <c r="AJ26" s="33">
        <f>'BS (Bull-Case)'!AJ26-'BS (Base-Case)'!AJ26</f>
        <v>0</v>
      </c>
      <c r="AK26" s="33">
        <f>'BS (Bull-Case)'!AK26-'BS (Base-Case)'!AK26</f>
        <v>0</v>
      </c>
      <c r="AL26" s="169">
        <f>'BS (Bull-Case)'!AL26-'BS (Base-Case)'!AL26</f>
        <v>0</v>
      </c>
      <c r="AM26" s="33">
        <f>'BS (Bull-Case)'!AM26-'BS (Base-Case)'!AM26</f>
        <v>0</v>
      </c>
      <c r="AN26" s="33">
        <f>'BS (Bull-Case)'!AN26-'BS (Base-Case)'!AN26</f>
        <v>0</v>
      </c>
      <c r="AO26" s="33">
        <f>'BS (Bull-Case)'!AO26-'BS (Base-Case)'!AO26</f>
        <v>0</v>
      </c>
      <c r="AP26" s="33">
        <f>'BS (Bull-Case)'!AP26-'BS (Base-Case)'!AP26</f>
        <v>0</v>
      </c>
      <c r="AQ26" s="169">
        <f>'BS (Bull-Case)'!AQ26-'BS (Base-Case)'!AQ26</f>
        <v>0</v>
      </c>
      <c r="AR26" s="33">
        <f>'BS (Bull-Case)'!AR26-'BS (Base-Case)'!AR26</f>
        <v>0</v>
      </c>
      <c r="AS26" s="33">
        <f>'BS (Bull-Case)'!AS26-'BS (Base-Case)'!AS26</f>
        <v>0</v>
      </c>
      <c r="AT26" s="33">
        <f>'BS (Bull-Case)'!AT26-'BS (Base-Case)'!AT26</f>
        <v>0</v>
      </c>
      <c r="AU26" s="33">
        <f>'BS (Bull-Case)'!AU26-'BS (Base-Case)'!AU26</f>
        <v>0</v>
      </c>
      <c r="AV26" s="169">
        <f>'BS (Bull-Case)'!AV26-'BS (Base-Case)'!AV26</f>
        <v>0</v>
      </c>
    </row>
    <row r="27" spans="1:48" outlineLevel="1" x14ac:dyDescent="0.3">
      <c r="A27" s="161"/>
      <c r="B27" s="200" t="s">
        <v>234</v>
      </c>
      <c r="C27" s="201"/>
      <c r="D27" s="101">
        <f>'BS (Bull-Case)'!D27-'BS (Base-Case)'!D27</f>
        <v>0</v>
      </c>
      <c r="E27" s="101">
        <f>'BS (Bull-Case)'!E27-'BS (Base-Case)'!E27</f>
        <v>0</v>
      </c>
      <c r="F27" s="101">
        <f>'BS (Bull-Case)'!F27-'BS (Base-Case)'!F27</f>
        <v>0</v>
      </c>
      <c r="G27" s="101">
        <f>'BS (Bull-Case)'!G27-'BS (Base-Case)'!G27</f>
        <v>0</v>
      </c>
      <c r="H27" s="169">
        <f>'BS (Bull-Case)'!H27-'BS (Base-Case)'!H27</f>
        <v>0</v>
      </c>
      <c r="I27" s="101">
        <f>'BS (Bull-Case)'!I27-'BS (Base-Case)'!I27</f>
        <v>0</v>
      </c>
      <c r="J27" s="101">
        <f>'BS (Bull-Case)'!J27-'BS (Base-Case)'!J27</f>
        <v>0</v>
      </c>
      <c r="K27" s="101">
        <f>'BS (Bull-Case)'!K27-'BS (Base-Case)'!K27</f>
        <v>0</v>
      </c>
      <c r="L27" s="101">
        <f>'BS (Bull-Case)'!L27-'BS (Base-Case)'!L27</f>
        <v>0</v>
      </c>
      <c r="M27" s="169">
        <f>'BS (Bull-Case)'!M27-'BS (Base-Case)'!M27</f>
        <v>0</v>
      </c>
      <c r="N27" s="101">
        <f>'BS (Bull-Case)'!N27-'BS (Base-Case)'!N27</f>
        <v>0</v>
      </c>
      <c r="O27" s="101">
        <f>'BS (Bull-Case)'!O27-'BS (Base-Case)'!O27</f>
        <v>0</v>
      </c>
      <c r="P27" s="101">
        <f>'BS (Bull-Case)'!P27-'BS (Base-Case)'!P27</f>
        <v>0</v>
      </c>
      <c r="Q27" s="101">
        <f>'BS (Bull-Case)'!Q27-'BS (Base-Case)'!Q27</f>
        <v>0</v>
      </c>
      <c r="R27" s="169">
        <f>'BS (Bull-Case)'!R27-'BS (Base-Case)'!R27</f>
        <v>0</v>
      </c>
      <c r="S27" s="101">
        <f>'BS (Bull-Case)'!S27-'BS (Base-Case)'!S27</f>
        <v>0</v>
      </c>
      <c r="T27" s="101">
        <f>'BS (Bull-Case)'!T27-'BS (Base-Case)'!T27</f>
        <v>0</v>
      </c>
      <c r="U27" s="101">
        <f>'BS (Bull-Case)'!U27-'BS (Base-Case)'!U27</f>
        <v>0</v>
      </c>
      <c r="V27" s="33">
        <f>'BS (Bull-Case)'!V27-'BS (Base-Case)'!V27</f>
        <v>0</v>
      </c>
      <c r="W27" s="169">
        <f>'BS (Bull-Case)'!W27-'BS (Base-Case)'!W27</f>
        <v>0</v>
      </c>
      <c r="X27" s="33">
        <f>'BS (Bull-Case)'!X27-'BS (Base-Case)'!X27</f>
        <v>0</v>
      </c>
      <c r="Y27" s="33">
        <f>'BS (Bull-Case)'!Y27-'BS (Base-Case)'!Y27</f>
        <v>0</v>
      </c>
      <c r="Z27" s="33">
        <f>'BS (Bull-Case)'!Z27-'BS (Base-Case)'!Z27</f>
        <v>0</v>
      </c>
      <c r="AA27" s="33">
        <f>'BS (Bull-Case)'!AA27-'BS (Base-Case)'!AA27</f>
        <v>0</v>
      </c>
      <c r="AB27" s="169">
        <f>'BS (Bull-Case)'!AB27-'BS (Base-Case)'!AB27</f>
        <v>0</v>
      </c>
      <c r="AC27" s="33">
        <f>'BS (Bull-Case)'!AC27-'BS (Base-Case)'!AC27</f>
        <v>0</v>
      </c>
      <c r="AD27" s="33">
        <f>'BS (Bull-Case)'!AD27-'BS (Base-Case)'!AD27</f>
        <v>0</v>
      </c>
      <c r="AE27" s="33">
        <f>'BS (Bull-Case)'!AE27-'BS (Base-Case)'!AE27</f>
        <v>0</v>
      </c>
      <c r="AF27" s="33">
        <f>'BS (Bull-Case)'!AF27-'BS (Base-Case)'!AF27</f>
        <v>0</v>
      </c>
      <c r="AG27" s="169">
        <f>'BS (Bull-Case)'!AG27-'BS (Base-Case)'!AG27</f>
        <v>0</v>
      </c>
      <c r="AH27" s="33">
        <f>'BS (Bull-Case)'!AH27-'BS (Base-Case)'!AH27</f>
        <v>0</v>
      </c>
      <c r="AI27" s="33">
        <f>'BS (Bull-Case)'!AI27-'BS (Base-Case)'!AI27</f>
        <v>0</v>
      </c>
      <c r="AJ27" s="33">
        <f>'BS (Bull-Case)'!AJ27-'BS (Base-Case)'!AJ27</f>
        <v>0</v>
      </c>
      <c r="AK27" s="33">
        <f>'BS (Bull-Case)'!AK27-'BS (Base-Case)'!AK27</f>
        <v>0</v>
      </c>
      <c r="AL27" s="169">
        <f>'BS (Bull-Case)'!AL27-'BS (Base-Case)'!AL27</f>
        <v>0</v>
      </c>
      <c r="AM27" s="33">
        <f>'BS (Bull-Case)'!AM27-'BS (Base-Case)'!AM27</f>
        <v>0</v>
      </c>
      <c r="AN27" s="33">
        <f>'BS (Bull-Case)'!AN27-'BS (Base-Case)'!AN27</f>
        <v>0</v>
      </c>
      <c r="AO27" s="33">
        <f>'BS (Bull-Case)'!AO27-'BS (Base-Case)'!AO27</f>
        <v>0</v>
      </c>
      <c r="AP27" s="33">
        <f>'BS (Bull-Case)'!AP27-'BS (Base-Case)'!AP27</f>
        <v>0</v>
      </c>
      <c r="AQ27" s="169">
        <f>'BS (Bull-Case)'!AQ27-'BS (Base-Case)'!AQ27</f>
        <v>0</v>
      </c>
      <c r="AR27" s="33">
        <f>'BS (Bull-Case)'!AR27-'BS (Base-Case)'!AR27</f>
        <v>0</v>
      </c>
      <c r="AS27" s="33">
        <f>'BS (Bull-Case)'!AS27-'BS (Base-Case)'!AS27</f>
        <v>0</v>
      </c>
      <c r="AT27" s="33">
        <f>'BS (Bull-Case)'!AT27-'BS (Base-Case)'!AT27</f>
        <v>0</v>
      </c>
      <c r="AU27" s="33">
        <f>'BS (Bull-Case)'!AU27-'BS (Base-Case)'!AU27</f>
        <v>0</v>
      </c>
      <c r="AV27" s="169">
        <f>'BS (Bull-Case)'!AV27-'BS (Base-Case)'!AV27</f>
        <v>0</v>
      </c>
    </row>
    <row r="28" spans="1:48" outlineLevel="1" x14ac:dyDescent="0.3">
      <c r="A28" s="161"/>
      <c r="B28" s="200" t="s">
        <v>235</v>
      </c>
      <c r="C28" s="201"/>
      <c r="D28" s="101">
        <f>'BS (Bull-Case)'!D28-'BS (Base-Case)'!D28</f>
        <v>0</v>
      </c>
      <c r="E28" s="101">
        <f>'BS (Bull-Case)'!E28-'BS (Base-Case)'!E28</f>
        <v>0</v>
      </c>
      <c r="F28" s="101">
        <f>'BS (Bull-Case)'!F28-'BS (Base-Case)'!F28</f>
        <v>0</v>
      </c>
      <c r="G28" s="101">
        <f>'BS (Bull-Case)'!G28-'BS (Base-Case)'!G28</f>
        <v>0</v>
      </c>
      <c r="H28" s="169">
        <f>'BS (Bull-Case)'!H28-'BS (Base-Case)'!H28</f>
        <v>0</v>
      </c>
      <c r="I28" s="101">
        <f>'BS (Bull-Case)'!I28-'BS (Base-Case)'!I28</f>
        <v>0</v>
      </c>
      <c r="J28" s="101">
        <f>'BS (Bull-Case)'!J28-'BS (Base-Case)'!J28</f>
        <v>0</v>
      </c>
      <c r="K28" s="101">
        <f>'BS (Bull-Case)'!K28-'BS (Base-Case)'!K28</f>
        <v>0</v>
      </c>
      <c r="L28" s="101">
        <f>'BS (Bull-Case)'!L28-'BS (Base-Case)'!L28</f>
        <v>0</v>
      </c>
      <c r="M28" s="169">
        <f>'BS (Bull-Case)'!M28-'BS (Base-Case)'!M28</f>
        <v>0</v>
      </c>
      <c r="N28" s="101">
        <f>'BS (Bull-Case)'!N28-'BS (Base-Case)'!N28</f>
        <v>0</v>
      </c>
      <c r="O28" s="101">
        <f>'BS (Bull-Case)'!O28-'BS (Base-Case)'!O28</f>
        <v>0</v>
      </c>
      <c r="P28" s="101">
        <f>'BS (Bull-Case)'!P28-'BS (Base-Case)'!P28</f>
        <v>0</v>
      </c>
      <c r="Q28" s="101">
        <f>'BS (Bull-Case)'!Q28-'BS (Base-Case)'!Q28</f>
        <v>0</v>
      </c>
      <c r="R28" s="169">
        <f>'BS (Bull-Case)'!R28-'BS (Base-Case)'!R28</f>
        <v>0</v>
      </c>
      <c r="S28" s="101">
        <f>'BS (Bull-Case)'!S28-'BS (Base-Case)'!S28</f>
        <v>0</v>
      </c>
      <c r="T28" s="101">
        <f>'BS (Bull-Case)'!T28-'BS (Base-Case)'!T28</f>
        <v>0</v>
      </c>
      <c r="U28" s="101">
        <f>'BS (Bull-Case)'!U28-'BS (Base-Case)'!U28</f>
        <v>0</v>
      </c>
      <c r="V28" s="33">
        <f>'BS (Bull-Case)'!V28-'BS (Base-Case)'!V28</f>
        <v>0</v>
      </c>
      <c r="W28" s="169">
        <f>'BS (Bull-Case)'!W28-'BS (Base-Case)'!W28</f>
        <v>0</v>
      </c>
      <c r="X28" s="33">
        <f>'BS (Bull-Case)'!X28-'BS (Base-Case)'!X28</f>
        <v>0</v>
      </c>
      <c r="Y28" s="33">
        <f>'BS (Bull-Case)'!Y28-'BS (Base-Case)'!Y28</f>
        <v>0</v>
      </c>
      <c r="Z28" s="33">
        <f>'BS (Bull-Case)'!Z28-'BS (Base-Case)'!Z28</f>
        <v>0</v>
      </c>
      <c r="AA28" s="33">
        <f>'BS (Bull-Case)'!AA28-'BS (Base-Case)'!AA28</f>
        <v>0</v>
      </c>
      <c r="AB28" s="169">
        <f>'BS (Bull-Case)'!AB28-'BS (Base-Case)'!AB28</f>
        <v>0</v>
      </c>
      <c r="AC28" s="33">
        <f>'BS (Bull-Case)'!AC28-'BS (Base-Case)'!AC28</f>
        <v>0</v>
      </c>
      <c r="AD28" s="33">
        <f>'BS (Bull-Case)'!AD28-'BS (Base-Case)'!AD28</f>
        <v>0</v>
      </c>
      <c r="AE28" s="33">
        <f>'BS (Bull-Case)'!AE28-'BS (Base-Case)'!AE28</f>
        <v>0</v>
      </c>
      <c r="AF28" s="33">
        <f>'BS (Bull-Case)'!AF28-'BS (Base-Case)'!AF28</f>
        <v>0</v>
      </c>
      <c r="AG28" s="169">
        <f>'BS (Bull-Case)'!AG28-'BS (Base-Case)'!AG28</f>
        <v>0</v>
      </c>
      <c r="AH28" s="33">
        <f>'BS (Bull-Case)'!AH28-'BS (Base-Case)'!AH28</f>
        <v>0</v>
      </c>
      <c r="AI28" s="33">
        <f>'BS (Bull-Case)'!AI28-'BS (Base-Case)'!AI28</f>
        <v>0</v>
      </c>
      <c r="AJ28" s="33">
        <f>'BS (Bull-Case)'!AJ28-'BS (Base-Case)'!AJ28</f>
        <v>0</v>
      </c>
      <c r="AK28" s="33">
        <f>'BS (Bull-Case)'!AK28-'BS (Base-Case)'!AK28</f>
        <v>0</v>
      </c>
      <c r="AL28" s="169">
        <f>'BS (Bull-Case)'!AL28-'BS (Base-Case)'!AL28</f>
        <v>0</v>
      </c>
      <c r="AM28" s="33">
        <f>'BS (Bull-Case)'!AM28-'BS (Base-Case)'!AM28</f>
        <v>0</v>
      </c>
      <c r="AN28" s="33">
        <f>'BS (Bull-Case)'!AN28-'BS (Base-Case)'!AN28</f>
        <v>0</v>
      </c>
      <c r="AO28" s="33">
        <f>'BS (Bull-Case)'!AO28-'BS (Base-Case)'!AO28</f>
        <v>0</v>
      </c>
      <c r="AP28" s="33">
        <f>'BS (Bull-Case)'!AP28-'BS (Base-Case)'!AP28</f>
        <v>0</v>
      </c>
      <c r="AQ28" s="169">
        <f>'BS (Bull-Case)'!AQ28-'BS (Base-Case)'!AQ28</f>
        <v>0</v>
      </c>
      <c r="AR28" s="33">
        <f>'BS (Bull-Case)'!AR28-'BS (Base-Case)'!AR28</f>
        <v>0</v>
      </c>
      <c r="AS28" s="33">
        <f>'BS (Bull-Case)'!AS28-'BS (Base-Case)'!AS28</f>
        <v>0</v>
      </c>
      <c r="AT28" s="33">
        <f>'BS (Bull-Case)'!AT28-'BS (Base-Case)'!AT28</f>
        <v>0</v>
      </c>
      <c r="AU28" s="33">
        <f>'BS (Bull-Case)'!AU28-'BS (Base-Case)'!AU28</f>
        <v>0</v>
      </c>
      <c r="AV28" s="169">
        <f>'BS (Bull-Case)'!AV28-'BS (Base-Case)'!AV28</f>
        <v>0</v>
      </c>
    </row>
    <row r="29" spans="1:48" ht="16.2" outlineLevel="1" x14ac:dyDescent="0.45">
      <c r="A29" s="161"/>
      <c r="B29" s="200" t="s">
        <v>236</v>
      </c>
      <c r="C29" s="201"/>
      <c r="D29" s="112">
        <f>'BS (Bull-Case)'!D29-'BS (Base-Case)'!D29</f>
        <v>0</v>
      </c>
      <c r="E29" s="112">
        <f>'BS (Bull-Case)'!E29-'BS (Base-Case)'!E29</f>
        <v>0</v>
      </c>
      <c r="F29" s="112">
        <f>'BS (Bull-Case)'!F29-'BS (Base-Case)'!F29</f>
        <v>0</v>
      </c>
      <c r="G29" s="112">
        <f>'BS (Bull-Case)'!G29-'BS (Base-Case)'!G29</f>
        <v>0</v>
      </c>
      <c r="H29" s="262">
        <f>'BS (Bull-Case)'!H29-'BS (Base-Case)'!H29</f>
        <v>0</v>
      </c>
      <c r="I29" s="112">
        <f>'BS (Bull-Case)'!I29-'BS (Base-Case)'!I29</f>
        <v>0</v>
      </c>
      <c r="J29" s="112">
        <f>'BS (Bull-Case)'!J29-'BS (Base-Case)'!J29</f>
        <v>0</v>
      </c>
      <c r="K29" s="112">
        <f>'BS (Bull-Case)'!K29-'BS (Base-Case)'!K29</f>
        <v>0</v>
      </c>
      <c r="L29" s="112">
        <f>'BS (Bull-Case)'!L29-'BS (Base-Case)'!L29</f>
        <v>0</v>
      </c>
      <c r="M29" s="262">
        <f>'BS (Bull-Case)'!M29-'BS (Base-Case)'!M29</f>
        <v>0</v>
      </c>
      <c r="N29" s="112">
        <f>'BS (Bull-Case)'!N29-'BS (Base-Case)'!N29</f>
        <v>0</v>
      </c>
      <c r="O29" s="112">
        <f>'BS (Bull-Case)'!O29-'BS (Base-Case)'!O29</f>
        <v>0</v>
      </c>
      <c r="P29" s="112">
        <f>'BS (Bull-Case)'!P29-'BS (Base-Case)'!P29</f>
        <v>0</v>
      </c>
      <c r="Q29" s="112">
        <f>'BS (Bull-Case)'!Q29-'BS (Base-Case)'!Q29</f>
        <v>0</v>
      </c>
      <c r="R29" s="262">
        <f>'BS (Bull-Case)'!R29-'BS (Base-Case)'!R29</f>
        <v>0</v>
      </c>
      <c r="S29" s="112">
        <f>'BS (Bull-Case)'!S29-'BS (Base-Case)'!S29</f>
        <v>0</v>
      </c>
      <c r="T29" s="112">
        <f>'BS (Bull-Case)'!T29-'BS (Base-Case)'!T29</f>
        <v>0</v>
      </c>
      <c r="U29" s="112">
        <f>'BS (Bull-Case)'!U29-'BS (Base-Case)'!U29</f>
        <v>0</v>
      </c>
      <c r="V29" s="32">
        <f>'BS (Bull-Case)'!V29-'BS (Base-Case)'!V29</f>
        <v>0</v>
      </c>
      <c r="W29" s="262">
        <f>'BS (Bull-Case)'!W29-'BS (Base-Case)'!W29</f>
        <v>0</v>
      </c>
      <c r="X29" s="32">
        <f>'BS (Bull-Case)'!X29-'BS (Base-Case)'!X29</f>
        <v>0</v>
      </c>
      <c r="Y29" s="32">
        <f>'BS (Bull-Case)'!Y29-'BS (Base-Case)'!Y29</f>
        <v>0</v>
      </c>
      <c r="Z29" s="32">
        <f>'BS (Bull-Case)'!Z29-'BS (Base-Case)'!Z29</f>
        <v>0</v>
      </c>
      <c r="AA29" s="32">
        <f>'BS (Bull-Case)'!AA29-'BS (Base-Case)'!AA29</f>
        <v>0</v>
      </c>
      <c r="AB29" s="262">
        <f>'BS (Bull-Case)'!AB29-'BS (Base-Case)'!AB29</f>
        <v>0</v>
      </c>
      <c r="AC29" s="32">
        <f>'BS (Bull-Case)'!AC29-'BS (Base-Case)'!AC29</f>
        <v>0</v>
      </c>
      <c r="AD29" s="32">
        <f>'BS (Bull-Case)'!AD29-'BS (Base-Case)'!AD29</f>
        <v>0</v>
      </c>
      <c r="AE29" s="32">
        <f>'BS (Bull-Case)'!AE29-'BS (Base-Case)'!AE29</f>
        <v>0</v>
      </c>
      <c r="AF29" s="32">
        <f>'BS (Bull-Case)'!AF29-'BS (Base-Case)'!AF29</f>
        <v>0</v>
      </c>
      <c r="AG29" s="262">
        <f>'BS (Bull-Case)'!AG29-'BS (Base-Case)'!AG29</f>
        <v>0</v>
      </c>
      <c r="AH29" s="32">
        <f>'BS (Bull-Case)'!AH29-'BS (Base-Case)'!AH29</f>
        <v>0</v>
      </c>
      <c r="AI29" s="32">
        <f>'BS (Bull-Case)'!AI29-'BS (Base-Case)'!AI29</f>
        <v>0</v>
      </c>
      <c r="AJ29" s="32">
        <f>'BS (Bull-Case)'!AJ29-'BS (Base-Case)'!AJ29</f>
        <v>0</v>
      </c>
      <c r="AK29" s="32">
        <f>'BS (Bull-Case)'!AK29-'BS (Base-Case)'!AK29</f>
        <v>0</v>
      </c>
      <c r="AL29" s="262">
        <f>'BS (Bull-Case)'!AL29-'BS (Base-Case)'!AL29</f>
        <v>0</v>
      </c>
      <c r="AM29" s="32">
        <f>'BS (Bull-Case)'!AM29-'BS (Base-Case)'!AM29</f>
        <v>0</v>
      </c>
      <c r="AN29" s="32">
        <f>'BS (Bull-Case)'!AN29-'BS (Base-Case)'!AN29</f>
        <v>0</v>
      </c>
      <c r="AO29" s="32">
        <f>'BS (Bull-Case)'!AO29-'BS (Base-Case)'!AO29</f>
        <v>0</v>
      </c>
      <c r="AP29" s="32">
        <f>'BS (Bull-Case)'!AP29-'BS (Base-Case)'!AP29</f>
        <v>0</v>
      </c>
      <c r="AQ29" s="262">
        <f>'BS (Bull-Case)'!AQ29-'BS (Base-Case)'!AQ29</f>
        <v>0</v>
      </c>
      <c r="AR29" s="32">
        <f>'BS (Bull-Case)'!AR29-'BS (Base-Case)'!AR29</f>
        <v>0</v>
      </c>
      <c r="AS29" s="32">
        <f>'BS (Bull-Case)'!AS29-'BS (Base-Case)'!AS29</f>
        <v>0</v>
      </c>
      <c r="AT29" s="32">
        <f>'BS (Bull-Case)'!AT29-'BS (Base-Case)'!AT29</f>
        <v>0</v>
      </c>
      <c r="AU29" s="32">
        <f>'BS (Bull-Case)'!AU29-'BS (Base-Case)'!AU29</f>
        <v>0</v>
      </c>
      <c r="AV29" s="262">
        <f>'BS (Bull-Case)'!AV29-'BS (Base-Case)'!AV29</f>
        <v>0</v>
      </c>
    </row>
    <row r="30" spans="1:48" outlineLevel="1" x14ac:dyDescent="0.3">
      <c r="A30" s="161"/>
      <c r="B30" s="205" t="s">
        <v>237</v>
      </c>
      <c r="C30" s="201"/>
      <c r="D30" s="116">
        <f>'BS (Bull-Case)'!D30-'BS (Base-Case)'!D30</f>
        <v>0</v>
      </c>
      <c r="E30" s="116">
        <f>'BS (Bull-Case)'!E30-'BS (Base-Case)'!E30</f>
        <v>0</v>
      </c>
      <c r="F30" s="116">
        <f>'BS (Bull-Case)'!F30-'BS (Base-Case)'!F30</f>
        <v>0</v>
      </c>
      <c r="G30" s="116">
        <f>'BS (Bull-Case)'!G30-'BS (Base-Case)'!G30</f>
        <v>0</v>
      </c>
      <c r="H30" s="150">
        <f>'BS (Bull-Case)'!H30-'BS (Base-Case)'!H30</f>
        <v>0</v>
      </c>
      <c r="I30" s="116">
        <f>'BS (Bull-Case)'!I30-'BS (Base-Case)'!I30</f>
        <v>0</v>
      </c>
      <c r="J30" s="116">
        <f>'BS (Bull-Case)'!J30-'BS (Base-Case)'!J30</f>
        <v>0</v>
      </c>
      <c r="K30" s="116">
        <f>'BS (Bull-Case)'!K30-'BS (Base-Case)'!K30</f>
        <v>0</v>
      </c>
      <c r="L30" s="116">
        <f>'BS (Bull-Case)'!L30-'BS (Base-Case)'!L30</f>
        <v>0</v>
      </c>
      <c r="M30" s="150">
        <f>'BS (Bull-Case)'!M30-'BS (Base-Case)'!M30</f>
        <v>0</v>
      </c>
      <c r="N30" s="116">
        <f>'BS (Bull-Case)'!N30-'BS (Base-Case)'!N30</f>
        <v>0</v>
      </c>
      <c r="O30" s="116">
        <f>'BS (Bull-Case)'!O30-'BS (Base-Case)'!O30</f>
        <v>0</v>
      </c>
      <c r="P30" s="116">
        <f>'BS (Bull-Case)'!P30-'BS (Base-Case)'!P30</f>
        <v>0</v>
      </c>
      <c r="Q30" s="116">
        <f>'BS (Bull-Case)'!Q30-'BS (Base-Case)'!Q30</f>
        <v>0</v>
      </c>
      <c r="R30" s="150">
        <f>'BS (Bull-Case)'!R30-'BS (Base-Case)'!R30</f>
        <v>0</v>
      </c>
      <c r="S30" s="116">
        <f>'BS (Bull-Case)'!S30-'BS (Base-Case)'!S30</f>
        <v>0</v>
      </c>
      <c r="T30" s="116">
        <f>'BS (Bull-Case)'!T30-'BS (Base-Case)'!T30</f>
        <v>0</v>
      </c>
      <c r="U30" s="116">
        <f>'BS (Bull-Case)'!U30-'BS (Base-Case)'!U30</f>
        <v>0</v>
      </c>
      <c r="V30" s="116">
        <f>'BS (Bull-Case)'!V30-'BS (Base-Case)'!V30</f>
        <v>0</v>
      </c>
      <c r="W30" s="150">
        <f>'BS (Bull-Case)'!W30-'BS (Base-Case)'!W30</f>
        <v>0</v>
      </c>
      <c r="X30" s="116">
        <f>'BS (Bull-Case)'!X30-'BS (Base-Case)'!X30</f>
        <v>12.846533383100905</v>
      </c>
      <c r="Y30" s="116">
        <f>'BS (Bull-Case)'!Y30-'BS (Base-Case)'!Y30</f>
        <v>12.638921846426456</v>
      </c>
      <c r="Z30" s="116">
        <f>'BS (Bull-Case)'!Z30-'BS (Base-Case)'!Z30</f>
        <v>14.729245418939172</v>
      </c>
      <c r="AA30" s="116">
        <f>'BS (Bull-Case)'!AA30-'BS (Base-Case)'!AA30</f>
        <v>12.706641652004691</v>
      </c>
      <c r="AB30" s="150">
        <f>'BS (Bull-Case)'!AB30-'BS (Base-Case)'!AB30</f>
        <v>12.706641652004691</v>
      </c>
      <c r="AC30" s="116">
        <f>'BS (Bull-Case)'!AC30-'BS (Base-Case)'!AC30</f>
        <v>23.955776291939401</v>
      </c>
      <c r="AD30" s="116">
        <f>'BS (Bull-Case)'!AD30-'BS (Base-Case)'!AD30</f>
        <v>24.500789072550106</v>
      </c>
      <c r="AE30" s="116">
        <f>'BS (Bull-Case)'!AE30-'BS (Base-Case)'!AE30</f>
        <v>27.449042199470568</v>
      </c>
      <c r="AF30" s="116">
        <f>'BS (Bull-Case)'!AF30-'BS (Base-Case)'!AF30</f>
        <v>25.021339888495277</v>
      </c>
      <c r="AG30" s="150">
        <f>'BS (Bull-Case)'!AG30-'BS (Base-Case)'!AG30</f>
        <v>25.021339888495277</v>
      </c>
      <c r="AH30" s="116">
        <f>'BS (Bull-Case)'!AH30-'BS (Base-Case)'!AH30</f>
        <v>37.461178369945628</v>
      </c>
      <c r="AI30" s="116">
        <f>'BS (Bull-Case)'!AI30-'BS (Base-Case)'!AI30</f>
        <v>38.714723715926084</v>
      </c>
      <c r="AJ30" s="116">
        <f>'BS (Bull-Case)'!AJ30-'BS (Base-Case)'!AJ30</f>
        <v>43.960600063750462</v>
      </c>
      <c r="AK30" s="116">
        <f>'BS (Bull-Case)'!AK30-'BS (Base-Case)'!AK30</f>
        <v>39.67047152237501</v>
      </c>
      <c r="AL30" s="150">
        <f>'BS (Bull-Case)'!AL30-'BS (Base-Case)'!AL30</f>
        <v>39.67047152237501</v>
      </c>
      <c r="AM30" s="116">
        <f>'BS (Bull-Case)'!AM30-'BS (Base-Case)'!AM30</f>
        <v>40.578647089667356</v>
      </c>
      <c r="AN30" s="116">
        <f>'BS (Bull-Case)'!AN30-'BS (Base-Case)'!AN30</f>
        <v>41.715058322506593</v>
      </c>
      <c r="AO30" s="116">
        <f>'BS (Bull-Case)'!AO30-'BS (Base-Case)'!AO30</f>
        <v>47.273651433981286</v>
      </c>
      <c r="AP30" s="116">
        <f>'BS (Bull-Case)'!AP30-'BS (Base-Case)'!AP30</f>
        <v>42.786387948277479</v>
      </c>
      <c r="AQ30" s="150">
        <f>'BS (Bull-Case)'!AQ30-'BS (Base-Case)'!AQ30</f>
        <v>42.786387948277479</v>
      </c>
      <c r="AR30" s="116">
        <f>'BS (Bull-Case)'!AR30-'BS (Base-Case)'!AR30</f>
        <v>43.264984754887337</v>
      </c>
      <c r="AS30" s="116">
        <f>'BS (Bull-Case)'!AS30-'BS (Base-Case)'!AS30</f>
        <v>44.507796673729899</v>
      </c>
      <c r="AT30" s="116">
        <f>'BS (Bull-Case)'!AT30-'BS (Base-Case)'!AT30</f>
        <v>50.200394020688691</v>
      </c>
      <c r="AU30" s="116">
        <f>'BS (Bull-Case)'!AU30-'BS (Base-Case)'!AU30</f>
        <v>45.508873123606463</v>
      </c>
      <c r="AV30" s="150">
        <f>'BS (Bull-Case)'!AV30-'BS (Base-Case)'!AV30</f>
        <v>45.508873123606463</v>
      </c>
    </row>
    <row r="31" spans="1:48" outlineLevel="1" x14ac:dyDescent="0.3">
      <c r="A31" s="161"/>
      <c r="B31" s="200" t="s">
        <v>238</v>
      </c>
      <c r="C31" s="201"/>
      <c r="D31" s="101">
        <f>'BS (Bull-Case)'!D31-'BS (Base-Case)'!D31</f>
        <v>0</v>
      </c>
      <c r="E31" s="101">
        <f>'BS (Bull-Case)'!E31-'BS (Base-Case)'!E31</f>
        <v>0</v>
      </c>
      <c r="F31" s="101">
        <f>'BS (Bull-Case)'!F31-'BS (Base-Case)'!F31</f>
        <v>0</v>
      </c>
      <c r="G31" s="101">
        <f>'BS (Bull-Case)'!G31-'BS (Base-Case)'!G31</f>
        <v>0</v>
      </c>
      <c r="H31" s="169">
        <f>'BS (Bull-Case)'!H31-'BS (Base-Case)'!H31</f>
        <v>0</v>
      </c>
      <c r="I31" s="101">
        <f>'BS (Bull-Case)'!I31-'BS (Base-Case)'!I31</f>
        <v>0</v>
      </c>
      <c r="J31" s="101">
        <f>'BS (Bull-Case)'!J31-'BS (Base-Case)'!J31</f>
        <v>0</v>
      </c>
      <c r="K31" s="101">
        <f>'BS (Bull-Case)'!K31-'BS (Base-Case)'!K31</f>
        <v>0</v>
      </c>
      <c r="L31" s="101">
        <f>'BS (Bull-Case)'!L31-'BS (Base-Case)'!L31</f>
        <v>0</v>
      </c>
      <c r="M31" s="169">
        <f>'BS (Bull-Case)'!M31-'BS (Base-Case)'!M31</f>
        <v>0</v>
      </c>
      <c r="N31" s="101">
        <f>'BS (Bull-Case)'!N31-'BS (Base-Case)'!N31</f>
        <v>0</v>
      </c>
      <c r="O31" s="101">
        <f>'BS (Bull-Case)'!O31-'BS (Base-Case)'!O31</f>
        <v>0</v>
      </c>
      <c r="P31" s="101">
        <f>'BS (Bull-Case)'!P31-'BS (Base-Case)'!P31</f>
        <v>0</v>
      </c>
      <c r="Q31" s="101">
        <f>'BS (Bull-Case)'!Q31-'BS (Base-Case)'!Q31</f>
        <v>0</v>
      </c>
      <c r="R31" s="169">
        <f>'BS (Bull-Case)'!R31-'BS (Base-Case)'!R31</f>
        <v>0</v>
      </c>
      <c r="S31" s="101">
        <f>'BS (Bull-Case)'!S31-'BS (Base-Case)'!S31</f>
        <v>0</v>
      </c>
      <c r="T31" s="101">
        <f>'BS (Bull-Case)'!T31-'BS (Base-Case)'!T31</f>
        <v>0</v>
      </c>
      <c r="U31" s="101">
        <f>'BS (Bull-Case)'!U31-'BS (Base-Case)'!U31</f>
        <v>0</v>
      </c>
      <c r="V31" s="33">
        <f>'BS (Bull-Case)'!V31-'BS (Base-Case)'!V31</f>
        <v>0</v>
      </c>
      <c r="W31" s="169">
        <f>'BS (Bull-Case)'!W31-'BS (Base-Case)'!W31</f>
        <v>0</v>
      </c>
      <c r="X31" s="33">
        <f>'BS (Bull-Case)'!X31-'BS (Base-Case)'!X31</f>
        <v>0</v>
      </c>
      <c r="Y31" s="33">
        <f>'BS (Bull-Case)'!Y31-'BS (Base-Case)'!Y31</f>
        <v>0</v>
      </c>
      <c r="Z31" s="33">
        <f>'BS (Bull-Case)'!Z31-'BS (Base-Case)'!Z31</f>
        <v>0</v>
      </c>
      <c r="AA31" s="33">
        <f>'BS (Bull-Case)'!AA31-'BS (Base-Case)'!AA31</f>
        <v>0</v>
      </c>
      <c r="AB31" s="169">
        <f>'BS (Bull-Case)'!AB31-'BS (Base-Case)'!AB31</f>
        <v>0</v>
      </c>
      <c r="AC31" s="33">
        <f>'BS (Bull-Case)'!AC31-'BS (Base-Case)'!AC31</f>
        <v>0</v>
      </c>
      <c r="AD31" s="33">
        <f>'BS (Bull-Case)'!AD31-'BS (Base-Case)'!AD31</f>
        <v>0</v>
      </c>
      <c r="AE31" s="33">
        <f>'BS (Bull-Case)'!AE31-'BS (Base-Case)'!AE31</f>
        <v>0</v>
      </c>
      <c r="AF31" s="33">
        <f>'BS (Bull-Case)'!AF31-'BS (Base-Case)'!AF31</f>
        <v>0</v>
      </c>
      <c r="AG31" s="169">
        <f>'BS (Bull-Case)'!AG31-'BS (Base-Case)'!AG31</f>
        <v>0</v>
      </c>
      <c r="AH31" s="33">
        <f>'BS (Bull-Case)'!AH31-'BS (Base-Case)'!AH31</f>
        <v>0</v>
      </c>
      <c r="AI31" s="33">
        <f>'BS (Bull-Case)'!AI31-'BS (Base-Case)'!AI31</f>
        <v>0</v>
      </c>
      <c r="AJ31" s="33">
        <f>'BS (Bull-Case)'!AJ31-'BS (Base-Case)'!AJ31</f>
        <v>-1466.3660628610342</v>
      </c>
      <c r="AK31" s="33">
        <f>'BS (Bull-Case)'!AK31-'BS (Base-Case)'!AK31</f>
        <v>-1466.3660628610342</v>
      </c>
      <c r="AL31" s="169">
        <f>'BS (Bull-Case)'!AL31-'BS (Base-Case)'!AL31</f>
        <v>-1466.3660628610342</v>
      </c>
      <c r="AM31" s="33">
        <f>'BS (Bull-Case)'!AM31-'BS (Base-Case)'!AM31</f>
        <v>-1466.3660628610342</v>
      </c>
      <c r="AN31" s="33">
        <f>'BS (Bull-Case)'!AN31-'BS (Base-Case)'!AN31</f>
        <v>-1466.3660628610342</v>
      </c>
      <c r="AO31" s="33">
        <f>'BS (Bull-Case)'!AO31-'BS (Base-Case)'!AO31</f>
        <v>-1466.3660628610342</v>
      </c>
      <c r="AP31" s="33">
        <f>'BS (Bull-Case)'!AP31-'BS (Base-Case)'!AP31</f>
        <v>-1466.3660628610342</v>
      </c>
      <c r="AQ31" s="169">
        <f>'BS (Bull-Case)'!AQ31-'BS (Base-Case)'!AQ31</f>
        <v>-1466.3660628610342</v>
      </c>
      <c r="AR31" s="33">
        <f>'BS (Bull-Case)'!AR31-'BS (Base-Case)'!AR31</f>
        <v>-1466.3660628610342</v>
      </c>
      <c r="AS31" s="33">
        <f>'BS (Bull-Case)'!AS31-'BS (Base-Case)'!AS31</f>
        <v>-1466.3660628610342</v>
      </c>
      <c r="AT31" s="33">
        <f>'BS (Bull-Case)'!AT31-'BS (Base-Case)'!AT31</f>
        <v>-1466.3660628610342</v>
      </c>
      <c r="AU31" s="33">
        <f>'BS (Bull-Case)'!AU31-'BS (Base-Case)'!AU31</f>
        <v>-1466.3660628610342</v>
      </c>
      <c r="AV31" s="169">
        <f>'BS (Bull-Case)'!AV31-'BS (Base-Case)'!AV31</f>
        <v>-1466.3660628610342</v>
      </c>
    </row>
    <row r="32" spans="1:48" outlineLevel="1" x14ac:dyDescent="0.3">
      <c r="A32" s="161"/>
      <c r="B32" s="200" t="s">
        <v>239</v>
      </c>
      <c r="C32" s="207"/>
      <c r="D32" s="101">
        <f>'BS (Bull-Case)'!D32-'BS (Base-Case)'!D32</f>
        <v>0</v>
      </c>
      <c r="E32" s="101">
        <f>'BS (Bull-Case)'!E32-'BS (Base-Case)'!E32</f>
        <v>0</v>
      </c>
      <c r="F32" s="101">
        <f>'BS (Bull-Case)'!F32-'BS (Base-Case)'!F32</f>
        <v>0</v>
      </c>
      <c r="G32" s="101">
        <f>'BS (Bull-Case)'!G32-'BS (Base-Case)'!G32</f>
        <v>0</v>
      </c>
      <c r="H32" s="169">
        <f>'BS (Bull-Case)'!H32-'BS (Base-Case)'!H32</f>
        <v>0</v>
      </c>
      <c r="I32" s="101">
        <f>'BS (Bull-Case)'!I32-'BS (Base-Case)'!I32</f>
        <v>0</v>
      </c>
      <c r="J32" s="101">
        <f>'BS (Bull-Case)'!J32-'BS (Base-Case)'!J32</f>
        <v>0</v>
      </c>
      <c r="K32" s="101">
        <f>'BS (Bull-Case)'!K32-'BS (Base-Case)'!K32</f>
        <v>0</v>
      </c>
      <c r="L32" s="101">
        <f>'BS (Bull-Case)'!L32-'BS (Base-Case)'!L32</f>
        <v>0</v>
      </c>
      <c r="M32" s="169">
        <f>'BS (Bull-Case)'!M32-'BS (Base-Case)'!M32</f>
        <v>0</v>
      </c>
      <c r="N32" s="101">
        <f>'BS (Bull-Case)'!N32-'BS (Base-Case)'!N32</f>
        <v>0</v>
      </c>
      <c r="O32" s="101">
        <f>'BS (Bull-Case)'!O32-'BS (Base-Case)'!O32</f>
        <v>0</v>
      </c>
      <c r="P32" s="101">
        <f>'BS (Bull-Case)'!P32-'BS (Base-Case)'!P32</f>
        <v>0</v>
      </c>
      <c r="Q32" s="101">
        <f>'BS (Bull-Case)'!Q32-'BS (Base-Case)'!Q32</f>
        <v>0</v>
      </c>
      <c r="R32" s="169">
        <f>'BS (Bull-Case)'!R32-'BS (Base-Case)'!R32</f>
        <v>0</v>
      </c>
      <c r="S32" s="101">
        <f>'BS (Bull-Case)'!S32-'BS (Base-Case)'!S32</f>
        <v>0</v>
      </c>
      <c r="T32" s="101">
        <f>'BS (Bull-Case)'!T32-'BS (Base-Case)'!T32</f>
        <v>0</v>
      </c>
      <c r="U32" s="101">
        <f>'BS (Bull-Case)'!U32-'BS (Base-Case)'!U32</f>
        <v>0</v>
      </c>
      <c r="V32" s="33">
        <f>'BS (Bull-Case)'!V32-'BS (Base-Case)'!V32</f>
        <v>0</v>
      </c>
      <c r="W32" s="169">
        <f>'BS (Bull-Case)'!W32-'BS (Base-Case)'!W32</f>
        <v>0</v>
      </c>
      <c r="X32" s="33">
        <f>'BS (Bull-Case)'!X32-'BS (Base-Case)'!X32</f>
        <v>0</v>
      </c>
      <c r="Y32" s="33">
        <f>'BS (Bull-Case)'!Y32-'BS (Base-Case)'!Y32</f>
        <v>0</v>
      </c>
      <c r="Z32" s="33">
        <f>'BS (Bull-Case)'!Z32-'BS (Base-Case)'!Z32</f>
        <v>0</v>
      </c>
      <c r="AA32" s="33">
        <f>'BS (Bull-Case)'!AA32-'BS (Base-Case)'!AA32</f>
        <v>0</v>
      </c>
      <c r="AB32" s="169">
        <f>'BS (Bull-Case)'!AB32-'BS (Base-Case)'!AB32</f>
        <v>0</v>
      </c>
      <c r="AC32" s="33">
        <f>'BS (Bull-Case)'!AC32-'BS (Base-Case)'!AC32</f>
        <v>0</v>
      </c>
      <c r="AD32" s="33">
        <f>'BS (Bull-Case)'!AD32-'BS (Base-Case)'!AD32</f>
        <v>0</v>
      </c>
      <c r="AE32" s="33">
        <f>'BS (Bull-Case)'!AE32-'BS (Base-Case)'!AE32</f>
        <v>0</v>
      </c>
      <c r="AF32" s="33">
        <f>'BS (Bull-Case)'!AF32-'BS (Base-Case)'!AF32</f>
        <v>0</v>
      </c>
      <c r="AG32" s="169">
        <f>'BS (Bull-Case)'!AG32-'BS (Base-Case)'!AG32</f>
        <v>0</v>
      </c>
      <c r="AH32" s="33">
        <f>'BS (Bull-Case)'!AH32-'BS (Base-Case)'!AH32</f>
        <v>0</v>
      </c>
      <c r="AI32" s="33">
        <f>'BS (Bull-Case)'!AI32-'BS (Base-Case)'!AI32</f>
        <v>0</v>
      </c>
      <c r="AJ32" s="33">
        <f>'BS (Bull-Case)'!AJ32-'BS (Base-Case)'!AJ32</f>
        <v>0</v>
      </c>
      <c r="AK32" s="33">
        <f>'BS (Bull-Case)'!AK32-'BS (Base-Case)'!AK32</f>
        <v>0</v>
      </c>
      <c r="AL32" s="169">
        <f>'BS (Bull-Case)'!AL32-'BS (Base-Case)'!AL32</f>
        <v>0</v>
      </c>
      <c r="AM32" s="33">
        <f>'BS (Bull-Case)'!AM32-'BS (Base-Case)'!AM32</f>
        <v>0</v>
      </c>
      <c r="AN32" s="33">
        <f>'BS (Bull-Case)'!AN32-'BS (Base-Case)'!AN32</f>
        <v>0</v>
      </c>
      <c r="AO32" s="33">
        <f>'BS (Bull-Case)'!AO32-'BS (Base-Case)'!AO32</f>
        <v>0</v>
      </c>
      <c r="AP32" s="33">
        <f>'BS (Bull-Case)'!AP32-'BS (Base-Case)'!AP32</f>
        <v>0</v>
      </c>
      <c r="AQ32" s="169">
        <f>'BS (Bull-Case)'!AQ32-'BS (Base-Case)'!AQ32</f>
        <v>0</v>
      </c>
      <c r="AR32" s="33">
        <f>'BS (Bull-Case)'!AR32-'BS (Base-Case)'!AR32</f>
        <v>0</v>
      </c>
      <c r="AS32" s="33">
        <f>'BS (Bull-Case)'!AS32-'BS (Base-Case)'!AS32</f>
        <v>0</v>
      </c>
      <c r="AT32" s="33">
        <f>'BS (Bull-Case)'!AT32-'BS (Base-Case)'!AT32</f>
        <v>0</v>
      </c>
      <c r="AU32" s="33">
        <f>'BS (Bull-Case)'!AU32-'BS (Base-Case)'!AU32</f>
        <v>0</v>
      </c>
      <c r="AV32" s="169">
        <f>'BS (Bull-Case)'!AV32-'BS (Base-Case)'!AV32</f>
        <v>0</v>
      </c>
    </row>
    <row r="33" spans="1:48" outlineLevel="1" x14ac:dyDescent="0.3">
      <c r="A33" s="161"/>
      <c r="B33" s="200" t="s">
        <v>240</v>
      </c>
      <c r="C33" s="207"/>
      <c r="D33" s="101">
        <f>'BS (Bull-Case)'!D33-'BS (Base-Case)'!D33</f>
        <v>0</v>
      </c>
      <c r="E33" s="101">
        <f>'BS (Bull-Case)'!E33-'BS (Base-Case)'!E33</f>
        <v>0</v>
      </c>
      <c r="F33" s="101">
        <f>'BS (Bull-Case)'!F33-'BS (Base-Case)'!F33</f>
        <v>0</v>
      </c>
      <c r="G33" s="101">
        <f>'BS (Bull-Case)'!G33-'BS (Base-Case)'!G33</f>
        <v>0</v>
      </c>
      <c r="H33" s="169">
        <f>'BS (Bull-Case)'!H33-'BS (Base-Case)'!H33</f>
        <v>0</v>
      </c>
      <c r="I33" s="101">
        <f>'BS (Bull-Case)'!I33-'BS (Base-Case)'!I33</f>
        <v>0</v>
      </c>
      <c r="J33" s="101">
        <f>'BS (Bull-Case)'!J33-'BS (Base-Case)'!J33</f>
        <v>0</v>
      </c>
      <c r="K33" s="101">
        <f>'BS (Bull-Case)'!K33-'BS (Base-Case)'!K33</f>
        <v>0</v>
      </c>
      <c r="L33" s="101">
        <f>'BS (Bull-Case)'!L33-'BS (Base-Case)'!L33</f>
        <v>0</v>
      </c>
      <c r="M33" s="169">
        <f>'BS (Bull-Case)'!M33-'BS (Base-Case)'!M33</f>
        <v>0</v>
      </c>
      <c r="N33" s="101">
        <f>'BS (Bull-Case)'!N33-'BS (Base-Case)'!N33</f>
        <v>0</v>
      </c>
      <c r="O33" s="101">
        <f>'BS (Bull-Case)'!O33-'BS (Base-Case)'!O33</f>
        <v>0</v>
      </c>
      <c r="P33" s="101">
        <f>'BS (Bull-Case)'!P33-'BS (Base-Case)'!P33</f>
        <v>0</v>
      </c>
      <c r="Q33" s="101">
        <f>'BS (Bull-Case)'!Q33-'BS (Base-Case)'!Q33</f>
        <v>0</v>
      </c>
      <c r="R33" s="169">
        <f>'BS (Bull-Case)'!R33-'BS (Base-Case)'!R33</f>
        <v>0</v>
      </c>
      <c r="S33" s="101">
        <f>'BS (Bull-Case)'!S33-'BS (Base-Case)'!S33</f>
        <v>0</v>
      </c>
      <c r="T33" s="101">
        <f>'BS (Bull-Case)'!T33-'BS (Base-Case)'!T33</f>
        <v>0</v>
      </c>
      <c r="U33" s="101">
        <f>'BS (Bull-Case)'!U33-'BS (Base-Case)'!U33</f>
        <v>0</v>
      </c>
      <c r="V33" s="33">
        <f>'BS (Bull-Case)'!V33-'BS (Base-Case)'!V33</f>
        <v>0</v>
      </c>
      <c r="W33" s="169">
        <f>'BS (Bull-Case)'!W33-'BS (Base-Case)'!W33</f>
        <v>0</v>
      </c>
      <c r="X33" s="33">
        <f>'BS (Bull-Case)'!X33-'BS (Base-Case)'!X33</f>
        <v>0</v>
      </c>
      <c r="Y33" s="33">
        <f>'BS (Bull-Case)'!Y33-'BS (Base-Case)'!Y33</f>
        <v>0</v>
      </c>
      <c r="Z33" s="33">
        <f>'BS (Bull-Case)'!Z33-'BS (Base-Case)'!Z33</f>
        <v>0</v>
      </c>
      <c r="AA33" s="33">
        <f>'BS (Bull-Case)'!AA33-'BS (Base-Case)'!AA33</f>
        <v>0</v>
      </c>
      <c r="AB33" s="169">
        <f>'BS (Bull-Case)'!AB33-'BS (Base-Case)'!AB33</f>
        <v>0</v>
      </c>
      <c r="AC33" s="33">
        <f>'BS (Bull-Case)'!AC33-'BS (Base-Case)'!AC33</f>
        <v>0</v>
      </c>
      <c r="AD33" s="33">
        <f>'BS (Bull-Case)'!AD33-'BS (Base-Case)'!AD33</f>
        <v>0</v>
      </c>
      <c r="AE33" s="33">
        <f>'BS (Bull-Case)'!AE33-'BS (Base-Case)'!AE33</f>
        <v>0</v>
      </c>
      <c r="AF33" s="33">
        <f>'BS (Bull-Case)'!AF33-'BS (Base-Case)'!AF33</f>
        <v>0</v>
      </c>
      <c r="AG33" s="169">
        <f>'BS (Bull-Case)'!AG33-'BS (Base-Case)'!AG33</f>
        <v>0</v>
      </c>
      <c r="AH33" s="33">
        <f>'BS (Bull-Case)'!AH33-'BS (Base-Case)'!AH33</f>
        <v>0</v>
      </c>
      <c r="AI33" s="33">
        <f>'BS (Bull-Case)'!AI33-'BS (Base-Case)'!AI33</f>
        <v>0</v>
      </c>
      <c r="AJ33" s="33">
        <f>'BS (Bull-Case)'!AJ33-'BS (Base-Case)'!AJ33</f>
        <v>0</v>
      </c>
      <c r="AK33" s="33">
        <f>'BS (Bull-Case)'!AK33-'BS (Base-Case)'!AK33</f>
        <v>0</v>
      </c>
      <c r="AL33" s="169">
        <f>'BS (Bull-Case)'!AL33-'BS (Base-Case)'!AL33</f>
        <v>0</v>
      </c>
      <c r="AM33" s="33">
        <f>'BS (Bull-Case)'!AM33-'BS (Base-Case)'!AM33</f>
        <v>0</v>
      </c>
      <c r="AN33" s="33">
        <f>'BS (Bull-Case)'!AN33-'BS (Base-Case)'!AN33</f>
        <v>0</v>
      </c>
      <c r="AO33" s="33">
        <f>'BS (Bull-Case)'!AO33-'BS (Base-Case)'!AO33</f>
        <v>0</v>
      </c>
      <c r="AP33" s="33">
        <f>'BS (Bull-Case)'!AP33-'BS (Base-Case)'!AP33</f>
        <v>0</v>
      </c>
      <c r="AQ33" s="169">
        <f>'BS (Bull-Case)'!AQ33-'BS (Base-Case)'!AQ33</f>
        <v>0</v>
      </c>
      <c r="AR33" s="33">
        <f>'BS (Bull-Case)'!AR33-'BS (Base-Case)'!AR33</f>
        <v>0</v>
      </c>
      <c r="AS33" s="33">
        <f>'BS (Bull-Case)'!AS33-'BS (Base-Case)'!AS33</f>
        <v>0</v>
      </c>
      <c r="AT33" s="33">
        <f>'BS (Bull-Case)'!AT33-'BS (Base-Case)'!AT33</f>
        <v>0</v>
      </c>
      <c r="AU33" s="33">
        <f>'BS (Bull-Case)'!AU33-'BS (Base-Case)'!AU33</f>
        <v>0</v>
      </c>
      <c r="AV33" s="169">
        <f>'BS (Bull-Case)'!AV33-'BS (Base-Case)'!AV33</f>
        <v>0</v>
      </c>
    </row>
    <row r="34" spans="1:48" ht="15.75" customHeight="1" outlineLevel="1" x14ac:dyDescent="0.45">
      <c r="A34" s="161"/>
      <c r="B34" s="435" t="s">
        <v>241</v>
      </c>
      <c r="C34" s="436"/>
      <c r="D34" s="112">
        <f>'BS (Bull-Case)'!D34-'BS (Base-Case)'!D34</f>
        <v>0</v>
      </c>
      <c r="E34" s="112">
        <f>'BS (Bull-Case)'!E34-'BS (Base-Case)'!E34</f>
        <v>0</v>
      </c>
      <c r="F34" s="112">
        <f>'BS (Bull-Case)'!F34-'BS (Base-Case)'!F34</f>
        <v>0</v>
      </c>
      <c r="G34" s="112">
        <f>'BS (Bull-Case)'!G34-'BS (Base-Case)'!G34</f>
        <v>0</v>
      </c>
      <c r="H34" s="262">
        <f>'BS (Bull-Case)'!H34-'BS (Base-Case)'!H34</f>
        <v>0</v>
      </c>
      <c r="I34" s="112">
        <f>'BS (Bull-Case)'!I34-'BS (Base-Case)'!I34</f>
        <v>0</v>
      </c>
      <c r="J34" s="112">
        <f>'BS (Bull-Case)'!J34-'BS (Base-Case)'!J34</f>
        <v>0</v>
      </c>
      <c r="K34" s="112">
        <f>'BS (Bull-Case)'!K34-'BS (Base-Case)'!K34</f>
        <v>0</v>
      </c>
      <c r="L34" s="112">
        <f>'BS (Bull-Case)'!L34-'BS (Base-Case)'!L34</f>
        <v>0</v>
      </c>
      <c r="M34" s="262">
        <f>'BS (Bull-Case)'!M34-'BS (Base-Case)'!M34</f>
        <v>0</v>
      </c>
      <c r="N34" s="112">
        <f>'BS (Bull-Case)'!N34-'BS (Base-Case)'!N34</f>
        <v>0</v>
      </c>
      <c r="O34" s="112">
        <f>'BS (Bull-Case)'!O34-'BS (Base-Case)'!O34</f>
        <v>0</v>
      </c>
      <c r="P34" s="112">
        <f>'BS (Bull-Case)'!P34-'BS (Base-Case)'!P34</f>
        <v>0</v>
      </c>
      <c r="Q34" s="112">
        <f>'BS (Bull-Case)'!Q34-'BS (Base-Case)'!Q34</f>
        <v>0</v>
      </c>
      <c r="R34" s="262">
        <f>'BS (Bull-Case)'!R34-'BS (Base-Case)'!R34</f>
        <v>0</v>
      </c>
      <c r="S34" s="112">
        <f>'BS (Bull-Case)'!S34-'BS (Base-Case)'!S34</f>
        <v>0</v>
      </c>
      <c r="T34" s="112">
        <f>'BS (Bull-Case)'!T34-'BS (Base-Case)'!T34</f>
        <v>0</v>
      </c>
      <c r="U34" s="112">
        <f>'BS (Bull-Case)'!U34-'BS (Base-Case)'!U34</f>
        <v>0</v>
      </c>
      <c r="V34" s="32">
        <f>'BS (Bull-Case)'!V34-'BS (Base-Case)'!V34</f>
        <v>0</v>
      </c>
      <c r="W34" s="262">
        <f>'BS (Bull-Case)'!W34-'BS (Base-Case)'!W34</f>
        <v>0</v>
      </c>
      <c r="X34" s="32">
        <f>'BS (Bull-Case)'!X34-'BS (Base-Case)'!X34</f>
        <v>0</v>
      </c>
      <c r="Y34" s="32">
        <f>'BS (Bull-Case)'!Y34-'BS (Base-Case)'!Y34</f>
        <v>0</v>
      </c>
      <c r="Z34" s="32">
        <f>'BS (Bull-Case)'!Z34-'BS (Base-Case)'!Z34</f>
        <v>0</v>
      </c>
      <c r="AA34" s="32">
        <f>'BS (Bull-Case)'!AA34-'BS (Base-Case)'!AA34</f>
        <v>0</v>
      </c>
      <c r="AB34" s="262">
        <f>'BS (Bull-Case)'!AB34-'BS (Base-Case)'!AB34</f>
        <v>0</v>
      </c>
      <c r="AC34" s="32">
        <f>'BS (Bull-Case)'!AC34-'BS (Base-Case)'!AC34</f>
        <v>0</v>
      </c>
      <c r="AD34" s="32">
        <f>'BS (Bull-Case)'!AD34-'BS (Base-Case)'!AD34</f>
        <v>0</v>
      </c>
      <c r="AE34" s="32">
        <f>'BS (Bull-Case)'!AE34-'BS (Base-Case)'!AE34</f>
        <v>0</v>
      </c>
      <c r="AF34" s="32">
        <f>'BS (Bull-Case)'!AF34-'BS (Base-Case)'!AF34</f>
        <v>0</v>
      </c>
      <c r="AG34" s="262">
        <f>'BS (Bull-Case)'!AG34-'BS (Base-Case)'!AG34</f>
        <v>0</v>
      </c>
      <c r="AH34" s="32">
        <f>'BS (Bull-Case)'!AH34-'BS (Base-Case)'!AH34</f>
        <v>0</v>
      </c>
      <c r="AI34" s="32">
        <f>'BS (Bull-Case)'!AI34-'BS (Base-Case)'!AI34</f>
        <v>0</v>
      </c>
      <c r="AJ34" s="32">
        <f>'BS (Bull-Case)'!AJ34-'BS (Base-Case)'!AJ34</f>
        <v>0</v>
      </c>
      <c r="AK34" s="32">
        <f>'BS (Bull-Case)'!AK34-'BS (Base-Case)'!AK34</f>
        <v>0</v>
      </c>
      <c r="AL34" s="262">
        <f>'BS (Bull-Case)'!AL34-'BS (Base-Case)'!AL34</f>
        <v>0</v>
      </c>
      <c r="AM34" s="32">
        <f>'BS (Bull-Case)'!AM34-'BS (Base-Case)'!AM34</f>
        <v>0</v>
      </c>
      <c r="AN34" s="32">
        <f>'BS (Bull-Case)'!AN34-'BS (Base-Case)'!AN34</f>
        <v>0</v>
      </c>
      <c r="AO34" s="32">
        <f>'BS (Bull-Case)'!AO34-'BS (Base-Case)'!AO34</f>
        <v>0</v>
      </c>
      <c r="AP34" s="32">
        <f>'BS (Bull-Case)'!AP34-'BS (Base-Case)'!AP34</f>
        <v>0</v>
      </c>
      <c r="AQ34" s="262">
        <f>'BS (Bull-Case)'!AQ34-'BS (Base-Case)'!AQ34</f>
        <v>0</v>
      </c>
      <c r="AR34" s="32">
        <f>'BS (Bull-Case)'!AR34-'BS (Base-Case)'!AR34</f>
        <v>0</v>
      </c>
      <c r="AS34" s="32">
        <f>'BS (Bull-Case)'!AS34-'BS (Base-Case)'!AS34</f>
        <v>0</v>
      </c>
      <c r="AT34" s="32">
        <f>'BS (Bull-Case)'!AT34-'BS (Base-Case)'!AT34</f>
        <v>0</v>
      </c>
      <c r="AU34" s="32">
        <f>'BS (Bull-Case)'!AU34-'BS (Base-Case)'!AU34</f>
        <v>0</v>
      </c>
      <c r="AV34" s="262">
        <f>'BS (Bull-Case)'!AV34-'BS (Base-Case)'!AV34</f>
        <v>0</v>
      </c>
    </row>
    <row r="35" spans="1:48" outlineLevel="1" x14ac:dyDescent="0.3">
      <c r="A35" s="161"/>
      <c r="B35" s="472" t="s">
        <v>242</v>
      </c>
      <c r="C35" s="473"/>
      <c r="D35" s="116">
        <f>'BS (Bull-Case)'!D35-'BS (Base-Case)'!D35</f>
        <v>0</v>
      </c>
      <c r="E35" s="116">
        <f>'BS (Bull-Case)'!E35-'BS (Base-Case)'!E35</f>
        <v>0</v>
      </c>
      <c r="F35" s="116">
        <f>'BS (Bull-Case)'!F35-'BS (Base-Case)'!F35</f>
        <v>0</v>
      </c>
      <c r="G35" s="116">
        <f>'BS (Bull-Case)'!G35-'BS (Base-Case)'!G35</f>
        <v>0</v>
      </c>
      <c r="H35" s="150">
        <f>'BS (Bull-Case)'!H35-'BS (Base-Case)'!H35</f>
        <v>0</v>
      </c>
      <c r="I35" s="116">
        <f>'BS (Bull-Case)'!I35-'BS (Base-Case)'!I35</f>
        <v>0</v>
      </c>
      <c r="J35" s="116">
        <f>'BS (Bull-Case)'!J35-'BS (Base-Case)'!J35</f>
        <v>0</v>
      </c>
      <c r="K35" s="116">
        <f>'BS (Bull-Case)'!K35-'BS (Base-Case)'!K35</f>
        <v>0</v>
      </c>
      <c r="L35" s="116">
        <f>'BS (Bull-Case)'!L35-'BS (Base-Case)'!L35</f>
        <v>0</v>
      </c>
      <c r="M35" s="150">
        <f>'BS (Bull-Case)'!M35-'BS (Base-Case)'!M35</f>
        <v>0</v>
      </c>
      <c r="N35" s="116">
        <f>'BS (Bull-Case)'!N35-'BS (Base-Case)'!N35</f>
        <v>0</v>
      </c>
      <c r="O35" s="116">
        <f>'BS (Bull-Case)'!O35-'BS (Base-Case)'!O35</f>
        <v>0</v>
      </c>
      <c r="P35" s="116">
        <f>'BS (Bull-Case)'!P35-'BS (Base-Case)'!P35</f>
        <v>0</v>
      </c>
      <c r="Q35" s="116">
        <f>'BS (Bull-Case)'!Q35-'BS (Base-Case)'!Q35</f>
        <v>0</v>
      </c>
      <c r="R35" s="150">
        <f>'BS (Bull-Case)'!R35-'BS (Base-Case)'!R35</f>
        <v>0</v>
      </c>
      <c r="S35" s="116">
        <f>'BS (Bull-Case)'!S35-'BS (Base-Case)'!S35</f>
        <v>0</v>
      </c>
      <c r="T35" s="116">
        <f>'BS (Bull-Case)'!T35-'BS (Base-Case)'!T35</f>
        <v>0</v>
      </c>
      <c r="U35" s="116">
        <f>'BS (Bull-Case)'!U35-'BS (Base-Case)'!U35</f>
        <v>0</v>
      </c>
      <c r="V35" s="116">
        <f>'BS (Bull-Case)'!V35-'BS (Base-Case)'!V35</f>
        <v>0</v>
      </c>
      <c r="W35" s="150">
        <f>'BS (Bull-Case)'!W35-'BS (Base-Case)'!W35</f>
        <v>0</v>
      </c>
      <c r="X35" s="116">
        <f>'BS (Bull-Case)'!X35-'BS (Base-Case)'!X35</f>
        <v>12.846533383097267</v>
      </c>
      <c r="Y35" s="116">
        <f>'BS (Bull-Case)'!Y35-'BS (Base-Case)'!Y35</f>
        <v>12.638921846424637</v>
      </c>
      <c r="Z35" s="116">
        <f>'BS (Bull-Case)'!Z35-'BS (Base-Case)'!Z35</f>
        <v>14.729245418937353</v>
      </c>
      <c r="AA35" s="116">
        <f>'BS (Bull-Case)'!AA35-'BS (Base-Case)'!AA35</f>
        <v>12.706641652010148</v>
      </c>
      <c r="AB35" s="150">
        <f>'BS (Bull-Case)'!AB35-'BS (Base-Case)'!AB35</f>
        <v>12.706641652010148</v>
      </c>
      <c r="AC35" s="116">
        <f>'BS (Bull-Case)'!AC35-'BS (Base-Case)'!AC35</f>
        <v>23.955776291943039</v>
      </c>
      <c r="AD35" s="116">
        <f>'BS (Bull-Case)'!AD35-'BS (Base-Case)'!AD35</f>
        <v>24.500789072553744</v>
      </c>
      <c r="AE35" s="116">
        <f>'BS (Bull-Case)'!AE35-'BS (Base-Case)'!AE35</f>
        <v>27.449042199470568</v>
      </c>
      <c r="AF35" s="116">
        <f>'BS (Bull-Case)'!AF35-'BS (Base-Case)'!AF35</f>
        <v>25.021339888495277</v>
      </c>
      <c r="AG35" s="150">
        <f>'BS (Bull-Case)'!AG35-'BS (Base-Case)'!AG35</f>
        <v>25.021339888495277</v>
      </c>
      <c r="AH35" s="116">
        <f>'BS (Bull-Case)'!AH35-'BS (Base-Case)'!AH35</f>
        <v>37.461178369943809</v>
      </c>
      <c r="AI35" s="116">
        <f>'BS (Bull-Case)'!AI35-'BS (Base-Case)'!AI35</f>
        <v>38.714723715922446</v>
      </c>
      <c r="AJ35" s="116">
        <f>'BS (Bull-Case)'!AJ35-'BS (Base-Case)'!AJ35</f>
        <v>-1422.4054627972801</v>
      </c>
      <c r="AK35" s="116">
        <f>'BS (Bull-Case)'!AK35-'BS (Base-Case)'!AK35</f>
        <v>-1426.6955913386555</v>
      </c>
      <c r="AL35" s="150">
        <f>'BS (Bull-Case)'!AL35-'BS (Base-Case)'!AL35</f>
        <v>-1426.6955913386555</v>
      </c>
      <c r="AM35" s="116">
        <f>'BS (Bull-Case)'!AM35-'BS (Base-Case)'!AM35</f>
        <v>-1425.7874157713668</v>
      </c>
      <c r="AN35" s="116">
        <f>'BS (Bull-Case)'!AN35-'BS (Base-Case)'!AN35</f>
        <v>-1424.6510045385294</v>
      </c>
      <c r="AO35" s="116">
        <f>'BS (Bull-Case)'!AO35-'BS (Base-Case)'!AO35</f>
        <v>-1419.0924114270529</v>
      </c>
      <c r="AP35" s="116">
        <f>'BS (Bull-Case)'!AP35-'BS (Base-Case)'!AP35</f>
        <v>-1423.5796749127621</v>
      </c>
      <c r="AQ35" s="150">
        <f>'BS (Bull-Case)'!AQ35-'BS (Base-Case)'!AQ35</f>
        <v>-1423.5796749127621</v>
      </c>
      <c r="AR35" s="116">
        <f>'BS (Bull-Case)'!AR35-'BS (Base-Case)'!AR35</f>
        <v>-1423.1010781061414</v>
      </c>
      <c r="AS35" s="116">
        <f>'BS (Bull-Case)'!AS35-'BS (Base-Case)'!AS35</f>
        <v>-1421.8582661873006</v>
      </c>
      <c r="AT35" s="116">
        <f>'BS (Bull-Case)'!AT35-'BS (Base-Case)'!AT35</f>
        <v>-1416.1656688403455</v>
      </c>
      <c r="AU35" s="116">
        <f>'BS (Bull-Case)'!AU35-'BS (Base-Case)'!AU35</f>
        <v>-1420.8571897374277</v>
      </c>
      <c r="AV35" s="150">
        <f>'BS (Bull-Case)'!AV35-'BS (Base-Case)'!AV35</f>
        <v>-1420.8571897374277</v>
      </c>
    </row>
    <row r="36" spans="1:48" ht="17.399999999999999" x14ac:dyDescent="0.45">
      <c r="B36" s="433" t="s">
        <v>243</v>
      </c>
      <c r="C36" s="434"/>
      <c r="D36" s="14" t="s">
        <v>19</v>
      </c>
      <c r="E36" s="14" t="s">
        <v>81</v>
      </c>
      <c r="F36" s="14" t="s">
        <v>85</v>
      </c>
      <c r="G36" s="14" t="s">
        <v>95</v>
      </c>
      <c r="H36" s="40" t="s">
        <v>96</v>
      </c>
      <c r="I36" s="14" t="s">
        <v>97</v>
      </c>
      <c r="J36" s="14" t="s">
        <v>98</v>
      </c>
      <c r="K36" s="14" t="s">
        <v>99</v>
      </c>
      <c r="L36" s="14" t="s">
        <v>142</v>
      </c>
      <c r="M36" s="40" t="s">
        <v>143</v>
      </c>
      <c r="N36" s="14" t="s">
        <v>149</v>
      </c>
      <c r="O36" s="14" t="s">
        <v>157</v>
      </c>
      <c r="P36" s="14" t="s">
        <v>159</v>
      </c>
      <c r="Q36" s="14" t="s">
        <v>172</v>
      </c>
      <c r="R36" s="40" t="s">
        <v>173</v>
      </c>
      <c r="S36" s="14" t="s">
        <v>188</v>
      </c>
      <c r="T36" s="14" t="s">
        <v>189</v>
      </c>
      <c r="U36" s="14" t="s">
        <v>204</v>
      </c>
      <c r="V36" s="263" t="s">
        <v>25</v>
      </c>
      <c r="W36" s="264" t="s">
        <v>26</v>
      </c>
      <c r="X36" s="263" t="s">
        <v>27</v>
      </c>
      <c r="Y36" s="263" t="s">
        <v>28</v>
      </c>
      <c r="Z36" s="263" t="s">
        <v>29</v>
      </c>
      <c r="AA36" s="263" t="s">
        <v>30</v>
      </c>
      <c r="AB36" s="264" t="s">
        <v>31</v>
      </c>
      <c r="AC36" s="12" t="s">
        <v>90</v>
      </c>
      <c r="AD36" s="12" t="s">
        <v>91</v>
      </c>
      <c r="AE36" s="12" t="s">
        <v>92</v>
      </c>
      <c r="AF36" s="12" t="s">
        <v>93</v>
      </c>
      <c r="AG36" s="42" t="s">
        <v>94</v>
      </c>
      <c r="AH36" s="12" t="s">
        <v>109</v>
      </c>
      <c r="AI36" s="12" t="s">
        <v>110</v>
      </c>
      <c r="AJ36" s="12" t="s">
        <v>111</v>
      </c>
      <c r="AK36" s="12" t="s">
        <v>112</v>
      </c>
      <c r="AL36" s="42" t="s">
        <v>113</v>
      </c>
      <c r="AM36" s="12" t="s">
        <v>164</v>
      </c>
      <c r="AN36" s="12" t="s">
        <v>165</v>
      </c>
      <c r="AO36" s="12" t="s">
        <v>166</v>
      </c>
      <c r="AP36" s="12" t="s">
        <v>167</v>
      </c>
      <c r="AQ36" s="42" t="s">
        <v>168</v>
      </c>
      <c r="AR36" s="12" t="s">
        <v>195</v>
      </c>
      <c r="AS36" s="12" t="s">
        <v>196</v>
      </c>
      <c r="AT36" s="12" t="s">
        <v>197</v>
      </c>
      <c r="AU36" s="12" t="s">
        <v>198</v>
      </c>
      <c r="AV36" s="42" t="s">
        <v>199</v>
      </c>
    </row>
    <row r="37" spans="1:48" outlineLevel="1" x14ac:dyDescent="0.3">
      <c r="B37" s="435" t="s">
        <v>244</v>
      </c>
      <c r="C37" s="436"/>
      <c r="D37" s="16">
        <f>'BS (Bull-Case)'!D37-'BS (Base-Case)'!D37</f>
        <v>0</v>
      </c>
      <c r="E37" s="16">
        <f>'BS (Bull-Case)'!E37-'BS (Base-Case)'!E37</f>
        <v>0</v>
      </c>
      <c r="F37" s="16">
        <f>'BS (Bull-Case)'!F37-'BS (Base-Case)'!F37</f>
        <v>0</v>
      </c>
      <c r="G37" s="16">
        <f>'BS (Bull-Case)'!G37-'BS (Base-Case)'!G37</f>
        <v>0</v>
      </c>
      <c r="H37" s="17">
        <f>'BS (Bull-Case)'!H37-'BS (Base-Case)'!H37</f>
        <v>0</v>
      </c>
      <c r="I37" s="16">
        <f>'BS (Bull-Case)'!I37-'BS (Base-Case)'!I37</f>
        <v>0</v>
      </c>
      <c r="J37" s="16">
        <f>'BS (Bull-Case)'!J37-'BS (Base-Case)'!J37</f>
        <v>0</v>
      </c>
      <c r="K37" s="16">
        <f>'BS (Bull-Case)'!K37-'BS (Base-Case)'!K37</f>
        <v>0</v>
      </c>
      <c r="L37" s="16">
        <f>'BS (Bull-Case)'!L37-'BS (Base-Case)'!L37</f>
        <v>0</v>
      </c>
      <c r="M37" s="17">
        <f>'BS (Bull-Case)'!M37-'BS (Base-Case)'!M37</f>
        <v>0</v>
      </c>
      <c r="N37" s="16">
        <f>'BS (Bull-Case)'!N37-'BS (Base-Case)'!N37</f>
        <v>0</v>
      </c>
      <c r="O37" s="16">
        <f>'BS (Bull-Case)'!O37-'BS (Base-Case)'!O37</f>
        <v>0</v>
      </c>
      <c r="P37" s="16">
        <f>'BS (Bull-Case)'!P37-'BS (Base-Case)'!P37</f>
        <v>0</v>
      </c>
      <c r="Q37" s="16">
        <f>'BS (Bull-Case)'!Q37-'BS (Base-Case)'!Q37</f>
        <v>0</v>
      </c>
      <c r="R37" s="17">
        <f>'BS (Bull-Case)'!R37-'BS (Base-Case)'!R37</f>
        <v>0</v>
      </c>
      <c r="S37" s="16">
        <f>'BS (Bull-Case)'!S37-'BS (Base-Case)'!S37</f>
        <v>0</v>
      </c>
      <c r="T37" s="16">
        <f>'BS (Bull-Case)'!T37-'BS (Base-Case)'!T37</f>
        <v>0</v>
      </c>
      <c r="U37" s="16">
        <f>'BS (Bull-Case)'!U37-'BS (Base-Case)'!U37</f>
        <v>0</v>
      </c>
      <c r="V37" s="16">
        <f>'BS (Bull-Case)'!V37-'BS (Base-Case)'!V37</f>
        <v>0</v>
      </c>
      <c r="W37" s="17">
        <f>'BS (Bull-Case)'!W37-'BS (Base-Case)'!W37</f>
        <v>0</v>
      </c>
      <c r="X37" s="16">
        <f>'BS (Bull-Case)'!X37-'BS (Base-Case)'!X37</f>
        <v>0.74111386287188452</v>
      </c>
      <c r="Y37" s="16">
        <f>'BS (Bull-Case)'!Y37-'BS (Base-Case)'!Y37</f>
        <v>1.3786655668501453</v>
      </c>
      <c r="Z37" s="16">
        <f>'BS (Bull-Case)'!Z37-'BS (Base-Case)'!Z37</f>
        <v>2.1053351349984268</v>
      </c>
      <c r="AA37" s="16">
        <f>'BS (Bull-Case)'!AA37-'BS (Base-Case)'!AA37</f>
        <v>2.8371164418658168</v>
      </c>
      <c r="AB37" s="17">
        <f>'BS (Bull-Case)'!AB37-'BS (Base-Case)'!AB37</f>
        <v>2.8371164418658168</v>
      </c>
      <c r="AC37" s="16">
        <f>'BS (Bull-Case)'!AC37-'BS (Base-Case)'!AC37</f>
        <v>4.3740999849115951</v>
      </c>
      <c r="AD37" s="16">
        <f>'BS (Bull-Case)'!AD37-'BS (Base-Case)'!AD37</f>
        <v>5.8176305573700802</v>
      </c>
      <c r="AE37" s="16">
        <f>'BS (Bull-Case)'!AE37-'BS (Base-Case)'!AE37</f>
        <v>7.4195047433827312</v>
      </c>
      <c r="AF37" s="16">
        <f>'BS (Bull-Case)'!AF37-'BS (Base-Case)'!AF37</f>
        <v>8.9944321472363526</v>
      </c>
      <c r="AG37" s="17">
        <f>'BS (Bull-Case)'!AG37-'BS (Base-Case)'!AG37</f>
        <v>8.9944321472363526</v>
      </c>
      <c r="AH37" s="16">
        <f>'BS (Bull-Case)'!AH37-'BS (Base-Case)'!AH37</f>
        <v>11.530783060963927</v>
      </c>
      <c r="AI37" s="16">
        <f>'BS (Bull-Case)'!AI37-'BS (Base-Case)'!AI37</f>
        <v>13.946745036737866</v>
      </c>
      <c r="AJ37" s="16">
        <f>'BS (Bull-Case)'!AJ37-'BS (Base-Case)'!AJ37</f>
        <v>16.605244636610678</v>
      </c>
      <c r="AK37" s="16">
        <f>'BS (Bull-Case)'!AK37-'BS (Base-Case)'!AK37</f>
        <v>19.213021710434077</v>
      </c>
      <c r="AL37" s="17">
        <f>'BS (Bull-Case)'!AL37-'BS (Base-Case)'!AL37</f>
        <v>19.213021710434077</v>
      </c>
      <c r="AM37" s="16">
        <f>'BS (Bull-Case)'!AM37-'BS (Base-Case)'!AM37</f>
        <v>21.965489320641836</v>
      </c>
      <c r="AN37" s="16">
        <f>'BS (Bull-Case)'!AN37-'BS (Base-Case)'!AN37</f>
        <v>24.590520218759366</v>
      </c>
      <c r="AO37" s="16">
        <f>'BS (Bull-Case)'!AO37-'BS (Base-Case)'!AO37</f>
        <v>27.474342583159796</v>
      </c>
      <c r="AP37" s="16">
        <f>'BS (Bull-Case)'!AP37-'BS (Base-Case)'!AP37</f>
        <v>30.301903877048971</v>
      </c>
      <c r="AQ37" s="17">
        <f>'BS (Bull-Case)'!AQ37-'BS (Base-Case)'!AQ37</f>
        <v>30.301903877048971</v>
      </c>
      <c r="AR37" s="16">
        <f>'BS (Bull-Case)'!AR37-'BS (Base-Case)'!AR37</f>
        <v>33.230036725643004</v>
      </c>
      <c r="AS37" s="16">
        <f>'BS (Bull-Case)'!AS37-'BS (Base-Case)'!AS37</f>
        <v>36.021930386386884</v>
      </c>
      <c r="AT37" s="16">
        <f>'BS (Bull-Case)'!AT37-'BS (Base-Case)'!AT37</f>
        <v>39.087768039654293</v>
      </c>
      <c r="AU37" s="16">
        <f>'BS (Bull-Case)'!AU37-'BS (Base-Case)'!AU37</f>
        <v>42.09331112650716</v>
      </c>
      <c r="AV37" s="17">
        <f>'BS (Bull-Case)'!AV37-'BS (Base-Case)'!AV37</f>
        <v>42.09331112650716</v>
      </c>
    </row>
    <row r="38" spans="1:48" outlineLevel="1" x14ac:dyDescent="0.3">
      <c r="B38" s="474" t="s">
        <v>245</v>
      </c>
      <c r="C38" s="475"/>
      <c r="D38" s="16">
        <f>'BS (Bull-Case)'!D38-'BS (Base-Case)'!D38</f>
        <v>0</v>
      </c>
      <c r="E38" s="101">
        <f>'BS (Bull-Case)'!E38-'BS (Base-Case)'!E38</f>
        <v>0</v>
      </c>
      <c r="F38" s="101">
        <f>'BS (Bull-Case)'!F38-'BS (Base-Case)'!F38</f>
        <v>0</v>
      </c>
      <c r="G38" s="101">
        <f>'BS (Bull-Case)'!G38-'BS (Base-Case)'!G38</f>
        <v>0</v>
      </c>
      <c r="H38" s="169">
        <f>'BS (Bull-Case)'!H38-'BS (Base-Case)'!H38</f>
        <v>0</v>
      </c>
      <c r="I38" s="101">
        <f>'BS (Bull-Case)'!I38-'BS (Base-Case)'!I38</f>
        <v>0</v>
      </c>
      <c r="J38" s="101">
        <f>'BS (Bull-Case)'!J38-'BS (Base-Case)'!J38</f>
        <v>0</v>
      </c>
      <c r="K38" s="101">
        <f>'BS (Bull-Case)'!K38-'BS (Base-Case)'!K38</f>
        <v>0</v>
      </c>
      <c r="L38" s="101">
        <f>'BS (Bull-Case)'!L38-'BS (Base-Case)'!L38</f>
        <v>0</v>
      </c>
      <c r="M38" s="169">
        <f>'BS (Bull-Case)'!M38-'BS (Base-Case)'!M38</f>
        <v>0</v>
      </c>
      <c r="N38" s="101">
        <f>'BS (Bull-Case)'!N38-'BS (Base-Case)'!N38</f>
        <v>0</v>
      </c>
      <c r="O38" s="101">
        <f>'BS (Bull-Case)'!O38-'BS (Base-Case)'!O38</f>
        <v>0</v>
      </c>
      <c r="P38" s="101">
        <f>'BS (Bull-Case)'!P38-'BS (Base-Case)'!P38</f>
        <v>0</v>
      </c>
      <c r="Q38" s="101">
        <f>'BS (Bull-Case)'!Q38-'BS (Base-Case)'!Q38</f>
        <v>0</v>
      </c>
      <c r="R38" s="169">
        <f>'BS (Bull-Case)'!R38-'BS (Base-Case)'!R38</f>
        <v>0</v>
      </c>
      <c r="S38" s="101">
        <f>'BS (Bull-Case)'!S38-'BS (Base-Case)'!S38</f>
        <v>0</v>
      </c>
      <c r="T38" s="101">
        <f>'BS (Bull-Case)'!T38-'BS (Base-Case)'!T38</f>
        <v>0</v>
      </c>
      <c r="U38" s="101">
        <f>'BS (Bull-Case)'!U38-'BS (Base-Case)'!U38</f>
        <v>0</v>
      </c>
      <c r="V38" s="101">
        <f>'BS (Bull-Case)'!V38-'BS (Base-Case)'!V38</f>
        <v>0</v>
      </c>
      <c r="W38" s="169">
        <f>'BS (Bull-Case)'!W38-'BS (Base-Case)'!W38</f>
        <v>0</v>
      </c>
      <c r="X38" s="101">
        <f>'BS (Bull-Case)'!X38-'BS (Base-Case)'!X38</f>
        <v>13.816893220529892</v>
      </c>
      <c r="Y38" s="101">
        <f>'BS (Bull-Case)'!Y38-'BS (Base-Case)'!Y38</f>
        <v>26.564040538913105</v>
      </c>
      <c r="Z38" s="101">
        <f>'BS (Bull-Case)'!Z38-'BS (Base-Case)'!Z38</f>
        <v>43.648166581728219</v>
      </c>
      <c r="AA38" s="101">
        <f>'BS (Bull-Case)'!AA38-'BS (Base-Case)'!AA38</f>
        <v>60.373918102947755</v>
      </c>
      <c r="AB38" s="169">
        <f>'BS (Bull-Case)'!AB38-'BS (Base-Case)'!AB38</f>
        <v>60.373918102947755</v>
      </c>
      <c r="AC38" s="101">
        <f>'BS (Bull-Case)'!AC38-'BS (Base-Case)'!AC38</f>
        <v>104.4546056133604</v>
      </c>
      <c r="AD38" s="101">
        <f>'BS (Bull-Case)'!AD38-'BS (Base-Case)'!AD38</f>
        <v>142.71341202097756</v>
      </c>
      <c r="AE38" s="101">
        <f>'BS (Bull-Case)'!AE38-'BS (Base-Case)'!AE38</f>
        <v>191.36728149311421</v>
      </c>
      <c r="AF38" s="101">
        <f>'BS (Bull-Case)'!AF38-'BS (Base-Case)'!AF38</f>
        <v>236.09027948598305</v>
      </c>
      <c r="AG38" s="169">
        <f>'BS (Bull-Case)'!AG38-'BS (Base-Case)'!AG38</f>
        <v>236.09027948598305</v>
      </c>
      <c r="AH38" s="101">
        <f>'BS (Bull-Case)'!AH38-'BS (Base-Case)'!AH38</f>
        <v>316.82964939672547</v>
      </c>
      <c r="AI38" s="101">
        <f>'BS (Bull-Case)'!AI38-'BS (Base-Case)'!AI38</f>
        <v>387.77416936916052</v>
      </c>
      <c r="AJ38" s="101">
        <f>'BS (Bull-Case)'!AJ38-'BS (Base-Case)'!AJ38</f>
        <v>1942.7941427619626</v>
      </c>
      <c r="AK38" s="101">
        <f>'BS (Bull-Case)'!AK38-'BS (Base-Case)'!AK38</f>
        <v>3469.8586897766654</v>
      </c>
      <c r="AL38" s="169">
        <f>'BS (Bull-Case)'!AL38-'BS (Base-Case)'!AL38</f>
        <v>3469.8586897766654</v>
      </c>
      <c r="AM38" s="101">
        <f>'BS (Bull-Case)'!AM38-'BS (Base-Case)'!AM38</f>
        <v>3547.0069470253184</v>
      </c>
      <c r="AN38" s="101">
        <f>'BS (Bull-Case)'!AN38-'BS (Base-Case)'!AN38</f>
        <v>3613.4188443091625</v>
      </c>
      <c r="AO38" s="101">
        <f>'BS (Bull-Case)'!AO38-'BS (Base-Case)'!AO38</f>
        <v>3691.5695454579782</v>
      </c>
      <c r="AP38" s="101">
        <f>'BS (Bull-Case)'!AP38-'BS (Base-Case)'!AP38</f>
        <v>3752.7793692402074</v>
      </c>
      <c r="AQ38" s="169">
        <f>'BS (Bull-Case)'!AQ38-'BS (Base-Case)'!AQ38</f>
        <v>3752.7793692402074</v>
      </c>
      <c r="AR38" s="101">
        <f>'BS (Bull-Case)'!AR38-'BS (Base-Case)'!AR38</f>
        <v>3819.9496914968677</v>
      </c>
      <c r="AS38" s="101">
        <f>'BS (Bull-Case)'!AS38-'BS (Base-Case)'!AS38</f>
        <v>3875.5530933838472</v>
      </c>
      <c r="AT38" s="101">
        <f>'BS (Bull-Case)'!AT38-'BS (Base-Case)'!AT38</f>
        <v>3951.2117531938766</v>
      </c>
      <c r="AU38" s="101">
        <f>'BS (Bull-Case)'!AU38-'BS (Base-Case)'!AU38</f>
        <v>4017.9728080176383</v>
      </c>
      <c r="AV38" s="169">
        <f>'BS (Bull-Case)'!AV38-'BS (Base-Case)'!AV38</f>
        <v>4017.9728080176383</v>
      </c>
    </row>
    <row r="39" spans="1:48" outlineLevel="1" x14ac:dyDescent="0.3">
      <c r="B39" s="474" t="s">
        <v>246</v>
      </c>
      <c r="C39" s="475"/>
      <c r="D39" s="16">
        <f>'BS (Bull-Case)'!D39-'BS (Base-Case)'!D39</f>
        <v>0</v>
      </c>
      <c r="E39" s="102">
        <f>'BS (Bull-Case)'!E39-'BS (Base-Case)'!E39</f>
        <v>0</v>
      </c>
      <c r="F39" s="101">
        <f>'BS (Bull-Case)'!F39-'BS (Base-Case)'!F39</f>
        <v>0</v>
      </c>
      <c r="G39" s="101">
        <f>'BS (Bull-Case)'!G39-'BS (Base-Case)'!G39</f>
        <v>0</v>
      </c>
      <c r="H39" s="169">
        <f>'BS (Bull-Case)'!H39-'BS (Base-Case)'!H39</f>
        <v>0</v>
      </c>
      <c r="I39" s="101">
        <f>'BS (Bull-Case)'!I39-'BS (Base-Case)'!I39</f>
        <v>0</v>
      </c>
      <c r="J39" s="101">
        <f>'BS (Bull-Case)'!J39-'BS (Base-Case)'!J39</f>
        <v>0</v>
      </c>
      <c r="K39" s="101">
        <f>'BS (Bull-Case)'!K39-'BS (Base-Case)'!K39</f>
        <v>0</v>
      </c>
      <c r="L39" s="101">
        <f>'BS (Bull-Case)'!L39-'BS (Base-Case)'!L39</f>
        <v>0</v>
      </c>
      <c r="M39" s="169">
        <f>'BS (Bull-Case)'!M39-'BS (Base-Case)'!M39</f>
        <v>0</v>
      </c>
      <c r="N39" s="101">
        <f>'BS (Bull-Case)'!N39-'BS (Base-Case)'!N39</f>
        <v>0</v>
      </c>
      <c r="O39" s="101">
        <f>'BS (Bull-Case)'!O39-'BS (Base-Case)'!O39</f>
        <v>0</v>
      </c>
      <c r="P39" s="101">
        <f>'BS (Bull-Case)'!P39-'BS (Base-Case)'!P39</f>
        <v>0</v>
      </c>
      <c r="Q39" s="101">
        <f>'BS (Bull-Case)'!Q39-'BS (Base-Case)'!Q39</f>
        <v>0</v>
      </c>
      <c r="R39" s="169">
        <f>'BS (Bull-Case)'!R39-'BS (Base-Case)'!R39</f>
        <v>0</v>
      </c>
      <c r="S39" s="101">
        <f>'BS (Bull-Case)'!S39-'BS (Base-Case)'!S39</f>
        <v>0</v>
      </c>
      <c r="T39" s="101">
        <f>'BS (Bull-Case)'!T39-'BS (Base-Case)'!T39</f>
        <v>0</v>
      </c>
      <c r="U39" s="101">
        <f>'BS (Bull-Case)'!U39-'BS (Base-Case)'!U39</f>
        <v>0</v>
      </c>
      <c r="V39" s="101">
        <f>'BS (Bull-Case)'!V39-'BS (Base-Case)'!V39</f>
        <v>0</v>
      </c>
      <c r="W39" s="169">
        <f>'BS (Bull-Case)'!W39-'BS (Base-Case)'!W39</f>
        <v>0</v>
      </c>
      <c r="X39" s="101">
        <f>'BS (Bull-Case)'!X39-'BS (Base-Case)'!X39</f>
        <v>0</v>
      </c>
      <c r="Y39" s="101">
        <f>'BS (Bull-Case)'!Y39-'BS (Base-Case)'!Y39</f>
        <v>0</v>
      </c>
      <c r="Z39" s="101">
        <f>'BS (Bull-Case)'!Z39-'BS (Base-Case)'!Z39</f>
        <v>0</v>
      </c>
      <c r="AA39" s="101">
        <f>'BS (Bull-Case)'!AA39-'BS (Base-Case)'!AA39</f>
        <v>0</v>
      </c>
      <c r="AB39" s="169">
        <f>'BS (Bull-Case)'!AB39-'BS (Base-Case)'!AB39</f>
        <v>0</v>
      </c>
      <c r="AC39" s="101">
        <f>'BS (Bull-Case)'!AC39-'BS (Base-Case)'!AC39</f>
        <v>0</v>
      </c>
      <c r="AD39" s="101">
        <f>'BS (Bull-Case)'!AD39-'BS (Base-Case)'!AD39</f>
        <v>0</v>
      </c>
      <c r="AE39" s="101">
        <f>'BS (Bull-Case)'!AE39-'BS (Base-Case)'!AE39</f>
        <v>0</v>
      </c>
      <c r="AF39" s="101">
        <f>'BS (Bull-Case)'!AF39-'BS (Base-Case)'!AF39</f>
        <v>0</v>
      </c>
      <c r="AG39" s="169">
        <f>'BS (Bull-Case)'!AG39-'BS (Base-Case)'!AG39</f>
        <v>0</v>
      </c>
      <c r="AH39" s="101">
        <f>'BS (Bull-Case)'!AH39-'BS (Base-Case)'!AH39</f>
        <v>0</v>
      </c>
      <c r="AI39" s="101">
        <f>'BS (Bull-Case)'!AI39-'BS (Base-Case)'!AI39</f>
        <v>0</v>
      </c>
      <c r="AJ39" s="101">
        <f>'BS (Bull-Case)'!AJ39-'BS (Base-Case)'!AJ39</f>
        <v>0</v>
      </c>
      <c r="AK39" s="101">
        <f>'BS (Bull-Case)'!AK39-'BS (Base-Case)'!AK39</f>
        <v>0</v>
      </c>
      <c r="AL39" s="169">
        <f>'BS (Bull-Case)'!AL39-'BS (Base-Case)'!AL39</f>
        <v>0</v>
      </c>
      <c r="AM39" s="101">
        <f>'BS (Bull-Case)'!AM39-'BS (Base-Case)'!AM39</f>
        <v>0</v>
      </c>
      <c r="AN39" s="101">
        <f>'BS (Bull-Case)'!AN39-'BS (Base-Case)'!AN39</f>
        <v>0</v>
      </c>
      <c r="AO39" s="101">
        <f>'BS (Bull-Case)'!AO39-'BS (Base-Case)'!AO39</f>
        <v>0</v>
      </c>
      <c r="AP39" s="101">
        <f>'BS (Bull-Case)'!AP39-'BS (Base-Case)'!AP39</f>
        <v>0</v>
      </c>
      <c r="AQ39" s="169">
        <f>'BS (Bull-Case)'!AQ39-'BS (Base-Case)'!AQ39</f>
        <v>0</v>
      </c>
      <c r="AR39" s="101">
        <f>'BS (Bull-Case)'!AR39-'BS (Base-Case)'!AR39</f>
        <v>0</v>
      </c>
      <c r="AS39" s="101">
        <f>'BS (Bull-Case)'!AS39-'BS (Base-Case)'!AS39</f>
        <v>0</v>
      </c>
      <c r="AT39" s="101">
        <f>'BS (Bull-Case)'!AT39-'BS (Base-Case)'!AT39</f>
        <v>0</v>
      </c>
      <c r="AU39" s="101">
        <f>'BS (Bull-Case)'!AU39-'BS (Base-Case)'!AU39</f>
        <v>0</v>
      </c>
      <c r="AV39" s="169">
        <f>'BS (Bull-Case)'!AV39-'BS (Base-Case)'!AV39</f>
        <v>0</v>
      </c>
    </row>
    <row r="40" spans="1:48" ht="16.2" outlineLevel="1" x14ac:dyDescent="0.45">
      <c r="B40" s="265" t="s">
        <v>247</v>
      </c>
      <c r="C40" s="266"/>
      <c r="D40" s="260">
        <f>'BS (Bull-Case)'!D40-'BS (Base-Case)'!D40</f>
        <v>0</v>
      </c>
      <c r="E40" s="112">
        <f>'BS (Bull-Case)'!E40-'BS (Base-Case)'!E40</f>
        <v>0</v>
      </c>
      <c r="F40" s="112">
        <f>'BS (Bull-Case)'!F40-'BS (Base-Case)'!F40</f>
        <v>0</v>
      </c>
      <c r="G40" s="112">
        <f>'BS (Bull-Case)'!G40-'BS (Base-Case)'!G40</f>
        <v>0</v>
      </c>
      <c r="H40" s="261">
        <f>'BS (Bull-Case)'!H40-'BS (Base-Case)'!H40</f>
        <v>0</v>
      </c>
      <c r="I40" s="112">
        <f>'BS (Bull-Case)'!I40-'BS (Base-Case)'!I40</f>
        <v>0</v>
      </c>
      <c r="J40" s="112">
        <f>'BS (Bull-Case)'!J40-'BS (Base-Case)'!J40</f>
        <v>0</v>
      </c>
      <c r="K40" s="112">
        <f>'BS (Bull-Case)'!K40-'BS (Base-Case)'!K40</f>
        <v>0</v>
      </c>
      <c r="L40" s="112">
        <f>'BS (Bull-Case)'!L40-'BS (Base-Case)'!L40</f>
        <v>0</v>
      </c>
      <c r="M40" s="262">
        <f>'BS (Bull-Case)'!M40-'BS (Base-Case)'!M40</f>
        <v>0</v>
      </c>
      <c r="N40" s="112">
        <f>'BS (Bull-Case)'!N40-'BS (Base-Case)'!N40</f>
        <v>0</v>
      </c>
      <c r="O40" s="112">
        <f>'BS (Bull-Case)'!O40-'BS (Base-Case)'!O40</f>
        <v>0</v>
      </c>
      <c r="P40" s="112">
        <f>'BS (Bull-Case)'!P40-'BS (Base-Case)'!P40</f>
        <v>0</v>
      </c>
      <c r="Q40" s="112">
        <f>'BS (Bull-Case)'!Q40-'BS (Base-Case)'!Q40</f>
        <v>0</v>
      </c>
      <c r="R40" s="262">
        <f>'BS (Bull-Case)'!R40-'BS (Base-Case)'!R40</f>
        <v>0</v>
      </c>
      <c r="S40" s="112">
        <f>'BS (Bull-Case)'!S40-'BS (Base-Case)'!S40</f>
        <v>0</v>
      </c>
      <c r="T40" s="112">
        <f>'BS (Bull-Case)'!T40-'BS (Base-Case)'!T40</f>
        <v>0</v>
      </c>
      <c r="U40" s="112">
        <f>'BS (Bull-Case)'!U40-'BS (Base-Case)'!U40</f>
        <v>0</v>
      </c>
      <c r="V40" s="112">
        <f>'BS (Bull-Case)'!V40-'BS (Base-Case)'!V40</f>
        <v>0</v>
      </c>
      <c r="W40" s="262">
        <f>'BS (Bull-Case)'!W40-'BS (Base-Case)'!W40</f>
        <v>0</v>
      </c>
      <c r="X40" s="112">
        <f>'BS (Bull-Case)'!X40-'BS (Base-Case)'!X40</f>
        <v>0</v>
      </c>
      <c r="Y40" s="112">
        <f>'BS (Bull-Case)'!Y40-'BS (Base-Case)'!Y40</f>
        <v>0</v>
      </c>
      <c r="Z40" s="112">
        <f>'BS (Bull-Case)'!Z40-'BS (Base-Case)'!Z40</f>
        <v>0</v>
      </c>
      <c r="AA40" s="112">
        <f>'BS (Bull-Case)'!AA40-'BS (Base-Case)'!AA40</f>
        <v>0</v>
      </c>
      <c r="AB40" s="262">
        <f>'BS (Bull-Case)'!AB40-'BS (Base-Case)'!AB40</f>
        <v>0</v>
      </c>
      <c r="AC40" s="112">
        <f>'BS (Bull-Case)'!AC40-'BS (Base-Case)'!AC40</f>
        <v>0</v>
      </c>
      <c r="AD40" s="112">
        <f>'BS (Bull-Case)'!AD40-'BS (Base-Case)'!AD40</f>
        <v>0</v>
      </c>
      <c r="AE40" s="112">
        <f>'BS (Bull-Case)'!AE40-'BS (Base-Case)'!AE40</f>
        <v>0</v>
      </c>
      <c r="AF40" s="112">
        <f>'BS (Bull-Case)'!AF40-'BS (Base-Case)'!AF40</f>
        <v>0</v>
      </c>
      <c r="AG40" s="262">
        <f>'BS (Bull-Case)'!AG40-'BS (Base-Case)'!AG40</f>
        <v>0</v>
      </c>
      <c r="AH40" s="112">
        <f>'BS (Bull-Case)'!AH40-'BS (Base-Case)'!AH40</f>
        <v>0</v>
      </c>
      <c r="AI40" s="112">
        <f>'BS (Bull-Case)'!AI40-'BS (Base-Case)'!AI40</f>
        <v>0</v>
      </c>
      <c r="AJ40" s="112">
        <f>'BS (Bull-Case)'!AJ40-'BS (Base-Case)'!AJ40</f>
        <v>0</v>
      </c>
      <c r="AK40" s="112">
        <f>'BS (Bull-Case)'!AK40-'BS (Base-Case)'!AK40</f>
        <v>0</v>
      </c>
      <c r="AL40" s="262">
        <f>'BS (Bull-Case)'!AL40-'BS (Base-Case)'!AL40</f>
        <v>0</v>
      </c>
      <c r="AM40" s="112">
        <f>'BS (Bull-Case)'!AM40-'BS (Base-Case)'!AM40</f>
        <v>0</v>
      </c>
      <c r="AN40" s="112">
        <f>'BS (Bull-Case)'!AN40-'BS (Base-Case)'!AN40</f>
        <v>0</v>
      </c>
      <c r="AO40" s="112">
        <f>'BS (Bull-Case)'!AO40-'BS (Base-Case)'!AO40</f>
        <v>0</v>
      </c>
      <c r="AP40" s="112">
        <f>'BS (Bull-Case)'!AP40-'BS (Base-Case)'!AP40</f>
        <v>0</v>
      </c>
      <c r="AQ40" s="262">
        <f>'BS (Bull-Case)'!AQ40-'BS (Base-Case)'!AQ40</f>
        <v>0</v>
      </c>
      <c r="AR40" s="112">
        <f>'BS (Bull-Case)'!AR40-'BS (Base-Case)'!AR40</f>
        <v>0</v>
      </c>
      <c r="AS40" s="112">
        <f>'BS (Bull-Case)'!AS40-'BS (Base-Case)'!AS40</f>
        <v>0</v>
      </c>
      <c r="AT40" s="112">
        <f>'BS (Bull-Case)'!AT40-'BS (Base-Case)'!AT40</f>
        <v>0</v>
      </c>
      <c r="AU40" s="112">
        <f>'BS (Bull-Case)'!AU40-'BS (Base-Case)'!AU40</f>
        <v>0</v>
      </c>
      <c r="AV40" s="262">
        <f>'BS (Bull-Case)'!AV40-'BS (Base-Case)'!AV40</f>
        <v>0</v>
      </c>
    </row>
    <row r="41" spans="1:48" outlineLevel="1" x14ac:dyDescent="0.3">
      <c r="B41" s="472" t="s">
        <v>248</v>
      </c>
      <c r="C41" s="473"/>
      <c r="D41" s="21">
        <f>'BS (Bull-Case)'!D41-'BS (Base-Case)'!D41</f>
        <v>0</v>
      </c>
      <c r="E41" s="21">
        <f>'BS (Bull-Case)'!E41-'BS (Base-Case)'!E41</f>
        <v>0</v>
      </c>
      <c r="F41" s="21">
        <f>'BS (Bull-Case)'!F41-'BS (Base-Case)'!F41</f>
        <v>0</v>
      </c>
      <c r="G41" s="21">
        <f>'BS (Bull-Case)'!G41-'BS (Base-Case)'!G41</f>
        <v>0</v>
      </c>
      <c r="H41" s="22">
        <f>'BS (Bull-Case)'!H41-'BS (Base-Case)'!H41</f>
        <v>0</v>
      </c>
      <c r="I41" s="21">
        <f>'BS (Bull-Case)'!I41-'BS (Base-Case)'!I41</f>
        <v>0</v>
      </c>
      <c r="J41" s="21">
        <f>'BS (Bull-Case)'!J41-'BS (Base-Case)'!J41</f>
        <v>0</v>
      </c>
      <c r="K41" s="21">
        <f>'BS (Bull-Case)'!K41-'BS (Base-Case)'!K41</f>
        <v>0</v>
      </c>
      <c r="L41" s="21">
        <f>'BS (Bull-Case)'!L41-'BS (Base-Case)'!L41</f>
        <v>0</v>
      </c>
      <c r="M41" s="22">
        <f>'BS (Bull-Case)'!M41-'BS (Base-Case)'!M41</f>
        <v>0</v>
      </c>
      <c r="N41" s="21">
        <f>'BS (Bull-Case)'!N41-'BS (Base-Case)'!N41</f>
        <v>0</v>
      </c>
      <c r="O41" s="21">
        <f>'BS (Bull-Case)'!O41-'BS (Base-Case)'!O41</f>
        <v>0</v>
      </c>
      <c r="P41" s="21">
        <f>'BS (Bull-Case)'!P41-'BS (Base-Case)'!P41</f>
        <v>0</v>
      </c>
      <c r="Q41" s="21">
        <f>'BS (Bull-Case)'!Q41-'BS (Base-Case)'!Q41</f>
        <v>0</v>
      </c>
      <c r="R41" s="22">
        <f>'BS (Bull-Case)'!R41-'BS (Base-Case)'!R41</f>
        <v>0</v>
      </c>
      <c r="S41" s="21">
        <f>'BS (Bull-Case)'!S41-'BS (Base-Case)'!S41</f>
        <v>0</v>
      </c>
      <c r="T41" s="21">
        <f>'BS (Bull-Case)'!T41-'BS (Base-Case)'!T41</f>
        <v>0</v>
      </c>
      <c r="U41" s="21">
        <f>'BS (Bull-Case)'!U41-'BS (Base-Case)'!U41</f>
        <v>0</v>
      </c>
      <c r="V41" s="21">
        <f>'BS (Bull-Case)'!V41-'BS (Base-Case)'!V41</f>
        <v>0</v>
      </c>
      <c r="W41" s="22">
        <f>'BS (Bull-Case)'!W41-'BS (Base-Case)'!W41</f>
        <v>0</v>
      </c>
      <c r="X41" s="21">
        <f>'BS (Bull-Case)'!X41-'BS (Base-Case)'!X41</f>
        <v>14.558007083402117</v>
      </c>
      <c r="Y41" s="21">
        <f>'BS (Bull-Case)'!Y41-'BS (Base-Case)'!Y41</f>
        <v>27.942706105763136</v>
      </c>
      <c r="Z41" s="21">
        <f>'BS (Bull-Case)'!Z41-'BS (Base-Case)'!Z41</f>
        <v>45.753501716726532</v>
      </c>
      <c r="AA41" s="21">
        <f>'BS (Bull-Case)'!AA41-'BS (Base-Case)'!AA41</f>
        <v>63.211034544812719</v>
      </c>
      <c r="AB41" s="22">
        <f>'BS (Bull-Case)'!AB41-'BS (Base-Case)'!AB41</f>
        <v>63.211034544812719</v>
      </c>
      <c r="AC41" s="21">
        <f>'BS (Bull-Case)'!AC41-'BS (Base-Case)'!AC41</f>
        <v>108.82870559827188</v>
      </c>
      <c r="AD41" s="21">
        <f>'BS (Bull-Case)'!AD41-'BS (Base-Case)'!AD41</f>
        <v>148.5310425783473</v>
      </c>
      <c r="AE41" s="21">
        <f>'BS (Bull-Case)'!AE41-'BS (Base-Case)'!AE41</f>
        <v>198.78678623649739</v>
      </c>
      <c r="AF41" s="21">
        <f>'BS (Bull-Case)'!AF41-'BS (Base-Case)'!AF41</f>
        <v>245.08471163321974</v>
      </c>
      <c r="AG41" s="22">
        <f>'BS (Bull-Case)'!AG41-'BS (Base-Case)'!AG41</f>
        <v>245.08471163321974</v>
      </c>
      <c r="AH41" s="21">
        <f>'BS (Bull-Case)'!AH41-'BS (Base-Case)'!AH41</f>
        <v>328.36043245768906</v>
      </c>
      <c r="AI41" s="21">
        <f>'BS (Bull-Case)'!AI41-'BS (Base-Case)'!AI41</f>
        <v>401.72091440589838</v>
      </c>
      <c r="AJ41" s="21">
        <f>'BS (Bull-Case)'!AJ41-'BS (Base-Case)'!AJ41</f>
        <v>1959.3993873985737</v>
      </c>
      <c r="AK41" s="21">
        <f>'BS (Bull-Case)'!AK41-'BS (Base-Case)'!AK41</f>
        <v>3489.0717114870986</v>
      </c>
      <c r="AL41" s="22">
        <f>'BS (Bull-Case)'!AL41-'BS (Base-Case)'!AL41</f>
        <v>3489.0717114870986</v>
      </c>
      <c r="AM41" s="21">
        <f>'BS (Bull-Case)'!AM41-'BS (Base-Case)'!AM41</f>
        <v>3568.9724363459609</v>
      </c>
      <c r="AN41" s="21">
        <f>'BS (Bull-Case)'!AN41-'BS (Base-Case)'!AN41</f>
        <v>3638.0093645279221</v>
      </c>
      <c r="AO41" s="21">
        <f>'BS (Bull-Case)'!AO41-'BS (Base-Case)'!AO41</f>
        <v>3719.0438880411375</v>
      </c>
      <c r="AP41" s="21">
        <f>'BS (Bull-Case)'!AP41-'BS (Base-Case)'!AP41</f>
        <v>3783.0812731172573</v>
      </c>
      <c r="AQ41" s="22">
        <f>'BS (Bull-Case)'!AQ41-'BS (Base-Case)'!AQ41</f>
        <v>3783.0812731172573</v>
      </c>
      <c r="AR41" s="21">
        <f>'BS (Bull-Case)'!AR41-'BS (Base-Case)'!AR41</f>
        <v>3853.1797282225107</v>
      </c>
      <c r="AS41" s="21">
        <f>'BS (Bull-Case)'!AS41-'BS (Base-Case)'!AS41</f>
        <v>3911.575023770235</v>
      </c>
      <c r="AT41" s="21">
        <f>'BS (Bull-Case)'!AT41-'BS (Base-Case)'!AT41</f>
        <v>3990.2995212335309</v>
      </c>
      <c r="AU41" s="21">
        <f>'BS (Bull-Case)'!AU41-'BS (Base-Case)'!AU41</f>
        <v>4060.066119144145</v>
      </c>
      <c r="AV41" s="22">
        <f>'BS (Bull-Case)'!AV41-'BS (Base-Case)'!AV41</f>
        <v>4060.066119144145</v>
      </c>
    </row>
    <row r="42" spans="1:48" outlineLevel="1" x14ac:dyDescent="0.3">
      <c r="B42" s="470" t="s">
        <v>249</v>
      </c>
      <c r="C42" s="471"/>
      <c r="D42" s="267">
        <f>'BS (Bull-Case)'!D42-'BS (Base-Case)'!D42</f>
        <v>0</v>
      </c>
      <c r="E42" s="267">
        <f>'BS (Bull-Case)'!E42-'BS (Base-Case)'!E42</f>
        <v>0</v>
      </c>
      <c r="F42" s="267">
        <f>'BS (Bull-Case)'!F42-'BS (Base-Case)'!F42</f>
        <v>0</v>
      </c>
      <c r="G42" s="267">
        <f>'BS (Bull-Case)'!G42-'BS (Base-Case)'!G42</f>
        <v>0</v>
      </c>
      <c r="H42" s="268">
        <f>'BS (Bull-Case)'!H42-'BS (Base-Case)'!H42</f>
        <v>0</v>
      </c>
      <c r="I42" s="267">
        <f>'BS (Bull-Case)'!I42-'BS (Base-Case)'!I42</f>
        <v>0</v>
      </c>
      <c r="J42" s="267">
        <f>'BS (Bull-Case)'!J42-'BS (Base-Case)'!J42</f>
        <v>0</v>
      </c>
      <c r="K42" s="267">
        <f>'BS (Bull-Case)'!K42-'BS (Base-Case)'!K42</f>
        <v>0</v>
      </c>
      <c r="L42" s="267">
        <f>'BS (Bull-Case)'!L42-'BS (Base-Case)'!L42</f>
        <v>0</v>
      </c>
      <c r="M42" s="268">
        <f>'BS (Bull-Case)'!M42-'BS (Base-Case)'!M42</f>
        <v>0</v>
      </c>
      <c r="N42" s="267">
        <f>'BS (Bull-Case)'!N42-'BS (Base-Case)'!N42</f>
        <v>0</v>
      </c>
      <c r="O42" s="267">
        <f>'BS (Bull-Case)'!O42-'BS (Base-Case)'!O42</f>
        <v>0</v>
      </c>
      <c r="P42" s="267">
        <f>'BS (Bull-Case)'!P42-'BS (Base-Case)'!P42</f>
        <v>0</v>
      </c>
      <c r="Q42" s="267">
        <f>'BS (Bull-Case)'!Q42-'BS (Base-Case)'!Q42</f>
        <v>0</v>
      </c>
      <c r="R42" s="268">
        <f>'BS (Bull-Case)'!R42-'BS (Base-Case)'!R42</f>
        <v>0</v>
      </c>
      <c r="S42" s="267">
        <f>'BS (Bull-Case)'!S42-'BS (Base-Case)'!S42</f>
        <v>0</v>
      </c>
      <c r="T42" s="267">
        <f>'BS (Bull-Case)'!T42-'BS (Base-Case)'!T42</f>
        <v>0</v>
      </c>
      <c r="U42" s="267">
        <f>'BS (Bull-Case)'!U42-'BS (Base-Case)'!U42</f>
        <v>0</v>
      </c>
      <c r="V42" s="267">
        <f>'BS (Bull-Case)'!V42-'BS (Base-Case)'!V42</f>
        <v>0</v>
      </c>
      <c r="W42" s="268">
        <f>'BS (Bull-Case)'!W42-'BS (Base-Case)'!W42</f>
        <v>0</v>
      </c>
      <c r="X42" s="267">
        <f>'BS (Bull-Case)'!X42-'BS (Base-Case)'!X42</f>
        <v>27.404540466497565</v>
      </c>
      <c r="Y42" s="267">
        <f>'BS (Bull-Case)'!Y42-'BS (Base-Case)'!Y42</f>
        <v>40.581627952185954</v>
      </c>
      <c r="Z42" s="267">
        <f>'BS (Bull-Case)'!Z42-'BS (Base-Case)'!Z42</f>
        <v>60.482747135665704</v>
      </c>
      <c r="AA42" s="267">
        <f>'BS (Bull-Case)'!AA42-'BS (Base-Case)'!AA42</f>
        <v>75.917676196826505</v>
      </c>
      <c r="AB42" s="268">
        <f>'BS (Bull-Case)'!AB42-'BS (Base-Case)'!AB42</f>
        <v>75.917676196826505</v>
      </c>
      <c r="AC42" s="267">
        <f>'BS (Bull-Case)'!AC42-'BS (Base-Case)'!AC42</f>
        <v>132.78448189021583</v>
      </c>
      <c r="AD42" s="267">
        <f>'BS (Bull-Case)'!AD42-'BS (Base-Case)'!AD42</f>
        <v>173.03183165090013</v>
      </c>
      <c r="AE42" s="267">
        <f>'BS (Bull-Case)'!AE42-'BS (Base-Case)'!AE42</f>
        <v>226.23582843596887</v>
      </c>
      <c r="AF42" s="267">
        <f>'BS (Bull-Case)'!AF42-'BS (Base-Case)'!AF42</f>
        <v>270.10605152171411</v>
      </c>
      <c r="AG42" s="268">
        <f>'BS (Bull-Case)'!AG42-'BS (Base-Case)'!AG42</f>
        <v>270.10605152171411</v>
      </c>
      <c r="AH42" s="267">
        <f>'BS (Bull-Case)'!AH42-'BS (Base-Case)'!AH42</f>
        <v>365.82161082763196</v>
      </c>
      <c r="AI42" s="267">
        <f>'BS (Bull-Case)'!AI42-'BS (Base-Case)'!AI42</f>
        <v>440.43563812182401</v>
      </c>
      <c r="AJ42" s="267">
        <f>'BS (Bull-Case)'!AJ42-'BS (Base-Case)'!AJ42</f>
        <v>536.99392460129457</v>
      </c>
      <c r="AK42" s="267">
        <f>'BS (Bull-Case)'!AK42-'BS (Base-Case)'!AK42</f>
        <v>2062.3761201484413</v>
      </c>
      <c r="AL42" s="268">
        <f>'BS (Bull-Case)'!AL42-'BS (Base-Case)'!AL42</f>
        <v>2062.3761201484413</v>
      </c>
      <c r="AM42" s="267">
        <f>'BS (Bull-Case)'!AM42-'BS (Base-Case)'!AM42</f>
        <v>2143.1850205745941</v>
      </c>
      <c r="AN42" s="267">
        <f>'BS (Bull-Case)'!AN42-'BS (Base-Case)'!AN42</f>
        <v>2213.3583599893936</v>
      </c>
      <c r="AO42" s="267">
        <f>'BS (Bull-Case)'!AO42-'BS (Base-Case)'!AO42</f>
        <v>2299.9514766140855</v>
      </c>
      <c r="AP42" s="267">
        <f>'BS (Bull-Case)'!AP42-'BS (Base-Case)'!AP42</f>
        <v>2359.501598204497</v>
      </c>
      <c r="AQ42" s="268">
        <f>'BS (Bull-Case)'!AQ42-'BS (Base-Case)'!AQ42</f>
        <v>2359.501598204497</v>
      </c>
      <c r="AR42" s="267">
        <f>'BS (Bull-Case)'!AR42-'BS (Base-Case)'!AR42</f>
        <v>2430.0786501163748</v>
      </c>
      <c r="AS42" s="267">
        <f>'BS (Bull-Case)'!AS42-'BS (Base-Case)'!AS42</f>
        <v>2489.7167575829371</v>
      </c>
      <c r="AT42" s="267">
        <f>'BS (Bull-Case)'!AT42-'BS (Base-Case)'!AT42</f>
        <v>2574.1338523931845</v>
      </c>
      <c r="AU42" s="267">
        <f>'BS (Bull-Case)'!AU42-'BS (Base-Case)'!AU42</f>
        <v>2639.2089294067191</v>
      </c>
      <c r="AV42" s="268">
        <f>'BS (Bull-Case)'!AV42-'BS (Base-Case)'!AV42</f>
        <v>2639.2089294067191</v>
      </c>
    </row>
    <row r="43" spans="1:48" x14ac:dyDescent="0.3">
      <c r="B43" s="269"/>
      <c r="C43" s="270"/>
      <c r="D43" s="271">
        <f>'BS (Bull-Case)'!D43-'BS (Base-Case)'!D43</f>
        <v>0</v>
      </c>
      <c r="E43" s="271">
        <f>'BS (Bull-Case)'!E43-'BS (Base-Case)'!E43</f>
        <v>0</v>
      </c>
      <c r="F43" s="271">
        <f>'BS (Bull-Case)'!F43-'BS (Base-Case)'!F43</f>
        <v>0</v>
      </c>
      <c r="G43" s="271">
        <f>'BS (Bull-Case)'!G43-'BS (Base-Case)'!G43</f>
        <v>0</v>
      </c>
      <c r="H43" s="271">
        <f>'BS (Bull-Case)'!H43-'BS (Base-Case)'!H43</f>
        <v>0</v>
      </c>
      <c r="I43" s="271">
        <f>'BS (Bull-Case)'!I43-'BS (Base-Case)'!I43</f>
        <v>0</v>
      </c>
      <c r="J43" s="271">
        <f>'BS (Bull-Case)'!J43-'BS (Base-Case)'!J43</f>
        <v>0</v>
      </c>
      <c r="K43" s="271">
        <f>'BS (Bull-Case)'!K43-'BS (Base-Case)'!K43</f>
        <v>0</v>
      </c>
      <c r="L43" s="272">
        <f>'BS (Bull-Case)'!L43-'BS (Base-Case)'!L43</f>
        <v>0</v>
      </c>
      <c r="M43" s="272">
        <f>'BS (Bull-Case)'!M43-'BS (Base-Case)'!M43</f>
        <v>0</v>
      </c>
      <c r="N43" s="272">
        <f>'BS (Bull-Case)'!N43-'BS (Base-Case)'!N43</f>
        <v>0</v>
      </c>
      <c r="O43" s="272">
        <f>'BS (Bull-Case)'!O43-'BS (Base-Case)'!O43</f>
        <v>0</v>
      </c>
      <c r="P43" s="272">
        <f>'BS (Bull-Case)'!P43-'BS (Base-Case)'!P43</f>
        <v>0</v>
      </c>
      <c r="Q43" s="272">
        <f>'BS (Bull-Case)'!Q43-'BS (Base-Case)'!Q43</f>
        <v>0</v>
      </c>
      <c r="R43" s="272">
        <f>'BS (Bull-Case)'!R43-'BS (Base-Case)'!R43</f>
        <v>0</v>
      </c>
      <c r="S43" s="272">
        <f>'BS (Bull-Case)'!S43-'BS (Base-Case)'!S43</f>
        <v>0</v>
      </c>
      <c r="T43" s="272">
        <f>'BS (Bull-Case)'!T43-'BS (Base-Case)'!T43</f>
        <v>0</v>
      </c>
      <c r="U43" s="272">
        <f>'BS (Bull-Case)'!U43-'BS (Base-Case)'!U43</f>
        <v>0</v>
      </c>
      <c r="V43" s="272">
        <f>'BS (Bull-Case)'!V43-'BS (Base-Case)'!V43</f>
        <v>0</v>
      </c>
      <c r="W43" s="272">
        <f>'BS (Bull-Case)'!W43-'BS (Base-Case)'!W43</f>
        <v>0</v>
      </c>
      <c r="X43" s="272">
        <f>'BS (Bull-Case)'!X43-'BS (Base-Case)'!X43</f>
        <v>0</v>
      </c>
      <c r="Y43" s="272">
        <f>'BS (Bull-Case)'!Y43-'BS (Base-Case)'!Y43</f>
        <v>0</v>
      </c>
      <c r="Z43" s="272">
        <f>'BS (Bull-Case)'!Z43-'BS (Base-Case)'!Z43</f>
        <v>0</v>
      </c>
      <c r="AA43" s="272">
        <f>'BS (Bull-Case)'!AA43-'BS (Base-Case)'!AA43</f>
        <v>0</v>
      </c>
      <c r="AB43" s="272">
        <f>'BS (Bull-Case)'!AB43-'BS (Base-Case)'!AB43</f>
        <v>0</v>
      </c>
      <c r="AC43" s="272">
        <f>'BS (Bull-Case)'!AC43-'BS (Base-Case)'!AC43</f>
        <v>0</v>
      </c>
      <c r="AD43" s="272">
        <f>'BS (Bull-Case)'!AD43-'BS (Base-Case)'!AD43</f>
        <v>0</v>
      </c>
      <c r="AE43" s="272">
        <f>'BS (Bull-Case)'!AE43-'BS (Base-Case)'!AE43</f>
        <v>0</v>
      </c>
      <c r="AF43" s="272">
        <f>'BS (Bull-Case)'!AF43-'BS (Base-Case)'!AF43</f>
        <v>0</v>
      </c>
      <c r="AG43" s="272">
        <f>'BS (Bull-Case)'!AG43-'BS (Base-Case)'!AG43</f>
        <v>0</v>
      </c>
      <c r="AH43" s="272">
        <f>'BS (Bull-Case)'!AH43-'BS (Base-Case)'!AH43</f>
        <v>0</v>
      </c>
      <c r="AI43" s="272">
        <f>'BS (Bull-Case)'!AI43-'BS (Base-Case)'!AI43</f>
        <v>0</v>
      </c>
      <c r="AJ43" s="272">
        <f>'BS (Bull-Case)'!AJ43-'BS (Base-Case)'!AJ43</f>
        <v>0</v>
      </c>
      <c r="AK43" s="272">
        <f>'BS (Bull-Case)'!AK43-'BS (Base-Case)'!AK43</f>
        <v>0</v>
      </c>
      <c r="AL43" s="272">
        <f>'BS (Bull-Case)'!AL43-'BS (Base-Case)'!AL43</f>
        <v>0</v>
      </c>
      <c r="AM43" s="272">
        <f>'BS (Bull-Case)'!AM43-'BS (Base-Case)'!AM43</f>
        <v>0</v>
      </c>
      <c r="AN43" s="272">
        <f>'BS (Bull-Case)'!AN43-'BS (Base-Case)'!AN43</f>
        <v>0</v>
      </c>
      <c r="AO43" s="272">
        <f>'BS (Bull-Case)'!AO43-'BS (Base-Case)'!AO43</f>
        <v>0</v>
      </c>
      <c r="AP43" s="272">
        <f>'BS (Bull-Case)'!AP43-'BS (Base-Case)'!AP43</f>
        <v>0</v>
      </c>
      <c r="AQ43" s="272">
        <f>'BS (Bull-Case)'!AQ43-'BS (Base-Case)'!AQ43</f>
        <v>0</v>
      </c>
      <c r="AR43" s="272">
        <f>'BS (Bull-Case)'!AR43-'BS (Base-Case)'!AR43</f>
        <v>0</v>
      </c>
      <c r="AS43" s="272">
        <f>'BS (Bull-Case)'!AS43-'BS (Base-Case)'!AS43</f>
        <v>0</v>
      </c>
      <c r="AT43" s="272">
        <f>'BS (Bull-Case)'!AT43-'BS (Base-Case)'!AT43</f>
        <v>0</v>
      </c>
      <c r="AU43" s="272">
        <f>'BS (Bull-Case)'!AU43-'BS (Base-Case)'!AU43</f>
        <v>0</v>
      </c>
      <c r="AV43" s="272">
        <f>'BS (Bull-Case)'!AV43-'BS (Base-Case)'!AV43</f>
        <v>0</v>
      </c>
    </row>
    <row r="44" spans="1:48" ht="15.6" x14ac:dyDescent="0.3">
      <c r="B44" s="433" t="s">
        <v>250</v>
      </c>
      <c r="C44" s="434"/>
      <c r="D44" s="13" t="s">
        <v>15</v>
      </c>
      <c r="E44" s="13" t="s">
        <v>82</v>
      </c>
      <c r="F44" s="13" t="s">
        <v>84</v>
      </c>
      <c r="G44" s="13" t="s">
        <v>147</v>
      </c>
      <c r="H44" s="39" t="s">
        <v>147</v>
      </c>
      <c r="I44" s="13" t="s">
        <v>146</v>
      </c>
      <c r="J44" s="13" t="s">
        <v>145</v>
      </c>
      <c r="K44" s="13" t="s">
        <v>144</v>
      </c>
      <c r="L44" s="13" t="s">
        <v>141</v>
      </c>
      <c r="M44" s="39" t="s">
        <v>141</v>
      </c>
      <c r="N44" s="13" t="s">
        <v>148</v>
      </c>
      <c r="O44" s="13" t="s">
        <v>156</v>
      </c>
      <c r="P44" s="13" t="s">
        <v>158</v>
      </c>
      <c r="Q44" s="13" t="s">
        <v>171</v>
      </c>
      <c r="R44" s="39" t="s">
        <v>171</v>
      </c>
      <c r="S44" s="13" t="s">
        <v>187</v>
      </c>
      <c r="T44" s="13" t="s">
        <v>190</v>
      </c>
      <c r="U44" s="13" t="s">
        <v>203</v>
      </c>
      <c r="V44" s="15" t="s">
        <v>20</v>
      </c>
      <c r="W44" s="41" t="s">
        <v>20</v>
      </c>
      <c r="X44" s="15" t="s">
        <v>21</v>
      </c>
      <c r="Y44" s="15" t="s">
        <v>22</v>
      </c>
      <c r="Z44" s="15" t="s">
        <v>23</v>
      </c>
      <c r="AA44" s="15" t="s">
        <v>24</v>
      </c>
      <c r="AB44" s="41" t="s">
        <v>24</v>
      </c>
      <c r="AC44" s="15" t="s">
        <v>86</v>
      </c>
      <c r="AD44" s="15" t="s">
        <v>87</v>
      </c>
      <c r="AE44" s="15" t="s">
        <v>88</v>
      </c>
      <c r="AF44" s="15" t="s">
        <v>89</v>
      </c>
      <c r="AG44" s="41" t="s">
        <v>89</v>
      </c>
      <c r="AH44" s="15" t="s">
        <v>105</v>
      </c>
      <c r="AI44" s="15" t="s">
        <v>106</v>
      </c>
      <c r="AJ44" s="15" t="s">
        <v>107</v>
      </c>
      <c r="AK44" s="15" t="s">
        <v>108</v>
      </c>
      <c r="AL44" s="41" t="s">
        <v>108</v>
      </c>
      <c r="AM44" s="15" t="s">
        <v>160</v>
      </c>
      <c r="AN44" s="15" t="s">
        <v>161</v>
      </c>
      <c r="AO44" s="15" t="s">
        <v>162</v>
      </c>
      <c r="AP44" s="15" t="s">
        <v>163</v>
      </c>
      <c r="AQ44" s="41" t="s">
        <v>163</v>
      </c>
      <c r="AR44" s="15" t="s">
        <v>191</v>
      </c>
      <c r="AS44" s="15" t="s">
        <v>192</v>
      </c>
      <c r="AT44" s="15" t="s">
        <v>193</v>
      </c>
      <c r="AU44" s="15" t="s">
        <v>194</v>
      </c>
      <c r="AV44" s="41" t="s">
        <v>194</v>
      </c>
    </row>
    <row r="45" spans="1:48" ht="16.2" x14ac:dyDescent="0.45">
      <c r="B45" s="467"/>
      <c r="C45" s="468"/>
      <c r="D45" s="14" t="s">
        <v>19</v>
      </c>
      <c r="E45" s="14" t="s">
        <v>81</v>
      </c>
      <c r="F45" s="14" t="s">
        <v>85</v>
      </c>
      <c r="G45" s="14" t="s">
        <v>95</v>
      </c>
      <c r="H45" s="40" t="s">
        <v>96</v>
      </c>
      <c r="I45" s="14" t="s">
        <v>97</v>
      </c>
      <c r="J45" s="14" t="s">
        <v>98</v>
      </c>
      <c r="K45" s="14" t="s">
        <v>99</v>
      </c>
      <c r="L45" s="14" t="s">
        <v>142</v>
      </c>
      <c r="M45" s="40" t="s">
        <v>143</v>
      </c>
      <c r="N45" s="14" t="s">
        <v>149</v>
      </c>
      <c r="O45" s="14" t="s">
        <v>157</v>
      </c>
      <c r="P45" s="14" t="s">
        <v>159</v>
      </c>
      <c r="Q45" s="14" t="s">
        <v>172</v>
      </c>
      <c r="R45" s="40" t="s">
        <v>173</v>
      </c>
      <c r="S45" s="14" t="s">
        <v>188</v>
      </c>
      <c r="T45" s="14" t="s">
        <v>189</v>
      </c>
      <c r="U45" s="14" t="s">
        <v>204</v>
      </c>
      <c r="V45" s="12" t="s">
        <v>25</v>
      </c>
      <c r="W45" s="42" t="s">
        <v>26</v>
      </c>
      <c r="X45" s="12" t="s">
        <v>27</v>
      </c>
      <c r="Y45" s="12" t="s">
        <v>28</v>
      </c>
      <c r="Z45" s="12" t="s">
        <v>29</v>
      </c>
      <c r="AA45" s="12" t="s">
        <v>30</v>
      </c>
      <c r="AB45" s="42" t="s">
        <v>31</v>
      </c>
      <c r="AC45" s="12" t="s">
        <v>90</v>
      </c>
      <c r="AD45" s="12" t="s">
        <v>91</v>
      </c>
      <c r="AE45" s="12" t="s">
        <v>92</v>
      </c>
      <c r="AF45" s="12" t="s">
        <v>93</v>
      </c>
      <c r="AG45" s="42" t="s">
        <v>94</v>
      </c>
      <c r="AH45" s="12" t="s">
        <v>109</v>
      </c>
      <c r="AI45" s="12" t="s">
        <v>110</v>
      </c>
      <c r="AJ45" s="12" t="s">
        <v>111</v>
      </c>
      <c r="AK45" s="12" t="s">
        <v>112</v>
      </c>
      <c r="AL45" s="42" t="s">
        <v>113</v>
      </c>
      <c r="AM45" s="12" t="s">
        <v>164</v>
      </c>
      <c r="AN45" s="12" t="s">
        <v>165</v>
      </c>
      <c r="AO45" s="12" t="s">
        <v>166</v>
      </c>
      <c r="AP45" s="12" t="s">
        <v>167</v>
      </c>
      <c r="AQ45" s="42" t="s">
        <v>168</v>
      </c>
      <c r="AR45" s="12" t="s">
        <v>195</v>
      </c>
      <c r="AS45" s="12" t="s">
        <v>196</v>
      </c>
      <c r="AT45" s="12" t="s">
        <v>197</v>
      </c>
      <c r="AU45" s="12" t="s">
        <v>198</v>
      </c>
      <c r="AV45" s="42" t="s">
        <v>199</v>
      </c>
    </row>
    <row r="46" spans="1:48" outlineLevel="1" x14ac:dyDescent="0.3">
      <c r="B46" s="200" t="s">
        <v>251</v>
      </c>
      <c r="C46" s="273"/>
      <c r="D46" s="274">
        <f>'BS (Bull-Case)'!D46-'BS (Base-Case)'!D46</f>
        <v>0</v>
      </c>
      <c r="E46" s="274">
        <f>'BS (Bull-Case)'!E46-'BS (Base-Case)'!E46</f>
        <v>0</v>
      </c>
      <c r="F46" s="274">
        <f>'BS (Bull-Case)'!F46-'BS (Base-Case)'!F46</f>
        <v>0</v>
      </c>
      <c r="G46" s="274">
        <f>'BS (Bull-Case)'!G46-'BS (Base-Case)'!G46</f>
        <v>0</v>
      </c>
      <c r="H46" s="122">
        <f>'BS (Bull-Case)'!H46-'BS (Base-Case)'!H46</f>
        <v>0</v>
      </c>
      <c r="I46" s="274">
        <f>'BS (Bull-Case)'!I46-'BS (Base-Case)'!I46</f>
        <v>0</v>
      </c>
      <c r="J46" s="274">
        <f>'BS (Bull-Case)'!J46-'BS (Base-Case)'!J46</f>
        <v>0</v>
      </c>
      <c r="K46" s="274">
        <f>'BS (Bull-Case)'!K46-'BS (Base-Case)'!K46</f>
        <v>0</v>
      </c>
      <c r="L46" s="274">
        <f>'BS (Bull-Case)'!L46-'BS (Base-Case)'!L46</f>
        <v>0</v>
      </c>
      <c r="M46" s="122">
        <f>'BS (Bull-Case)'!M46-'BS (Base-Case)'!M46</f>
        <v>0</v>
      </c>
      <c r="N46" s="274">
        <f>'BS (Bull-Case)'!N46-'BS (Base-Case)'!N46</f>
        <v>0</v>
      </c>
      <c r="O46" s="274">
        <f>'BS (Bull-Case)'!O46-'BS (Base-Case)'!O46</f>
        <v>0</v>
      </c>
      <c r="P46" s="274">
        <f>'BS (Bull-Case)'!P46-'BS (Base-Case)'!P46</f>
        <v>0</v>
      </c>
      <c r="Q46" s="274">
        <f>'BS (Bull-Case)'!Q46-'BS (Base-Case)'!Q46</f>
        <v>0</v>
      </c>
      <c r="R46" s="122">
        <f>'BS (Bull-Case)'!R46-'BS (Base-Case)'!R46</f>
        <v>0</v>
      </c>
      <c r="S46" s="274">
        <f>'BS (Bull-Case)'!S46-'BS (Base-Case)'!S46</f>
        <v>0</v>
      </c>
      <c r="T46" s="274">
        <f>'BS (Bull-Case)'!T46-'BS (Base-Case)'!T46</f>
        <v>0</v>
      </c>
      <c r="U46" s="274">
        <f>'BS (Bull-Case)'!U46-'BS (Base-Case)'!U46</f>
        <v>0</v>
      </c>
      <c r="V46" s="274">
        <f>'BS (Bull-Case)'!V46-'BS (Base-Case)'!V46</f>
        <v>0</v>
      </c>
      <c r="W46" s="122">
        <f>'BS (Bull-Case)'!W46-'BS (Base-Case)'!W46</f>
        <v>0</v>
      </c>
      <c r="X46" s="274">
        <f>'BS (Bull-Case)'!X46-'BS (Base-Case)'!X46</f>
        <v>0</v>
      </c>
      <c r="Y46" s="274">
        <f>'BS (Bull-Case)'!Y46-'BS (Base-Case)'!Y46</f>
        <v>0</v>
      </c>
      <c r="Z46" s="274">
        <f>'BS (Bull-Case)'!Z46-'BS (Base-Case)'!Z46</f>
        <v>0</v>
      </c>
      <c r="AA46" s="274">
        <f>'BS (Bull-Case)'!AA46-'BS (Base-Case)'!AA46</f>
        <v>0</v>
      </c>
      <c r="AB46" s="122">
        <f>'BS (Bull-Case)'!AB46-'BS (Base-Case)'!AB46</f>
        <v>0</v>
      </c>
      <c r="AC46" s="274">
        <f>'BS (Bull-Case)'!AC46-'BS (Base-Case)'!AC46</f>
        <v>0</v>
      </c>
      <c r="AD46" s="274">
        <f>'BS (Bull-Case)'!AD46-'BS (Base-Case)'!AD46</f>
        <v>0</v>
      </c>
      <c r="AE46" s="274">
        <f>'BS (Bull-Case)'!AE46-'BS (Base-Case)'!AE46</f>
        <v>0</v>
      </c>
      <c r="AF46" s="274">
        <f>'BS (Bull-Case)'!AF46-'BS (Base-Case)'!AF46</f>
        <v>0</v>
      </c>
      <c r="AG46" s="122">
        <f>'BS (Bull-Case)'!AG46-'BS (Base-Case)'!AG46</f>
        <v>0</v>
      </c>
      <c r="AH46" s="274">
        <f>'BS (Bull-Case)'!AH46-'BS (Base-Case)'!AH46</f>
        <v>0</v>
      </c>
      <c r="AI46" s="274">
        <f>'BS (Bull-Case)'!AI46-'BS (Base-Case)'!AI46</f>
        <v>0</v>
      </c>
      <c r="AJ46" s="274">
        <f>'BS (Bull-Case)'!AJ46-'BS (Base-Case)'!AJ46</f>
        <v>0</v>
      </c>
      <c r="AK46" s="274">
        <f>'BS (Bull-Case)'!AK46-'BS (Base-Case)'!AK46</f>
        <v>0</v>
      </c>
      <c r="AL46" s="122">
        <f>'BS (Bull-Case)'!AL46-'BS (Base-Case)'!AL46</f>
        <v>0</v>
      </c>
      <c r="AM46" s="274">
        <f>'BS (Bull-Case)'!AM46-'BS (Base-Case)'!AM46</f>
        <v>0</v>
      </c>
      <c r="AN46" s="274">
        <f>'BS (Bull-Case)'!AN46-'BS (Base-Case)'!AN46</f>
        <v>0</v>
      </c>
      <c r="AO46" s="274">
        <f>'BS (Bull-Case)'!AO46-'BS (Base-Case)'!AO46</f>
        <v>0</v>
      </c>
      <c r="AP46" s="274">
        <f>'BS (Bull-Case)'!AP46-'BS (Base-Case)'!AP46</f>
        <v>0</v>
      </c>
      <c r="AQ46" s="122">
        <f>'BS (Bull-Case)'!AQ46-'BS (Base-Case)'!AQ46</f>
        <v>0</v>
      </c>
      <c r="AR46" s="274">
        <f>'BS (Bull-Case)'!AR46-'BS (Base-Case)'!AR46</f>
        <v>0</v>
      </c>
      <c r="AS46" s="274">
        <f>'BS (Bull-Case)'!AS46-'BS (Base-Case)'!AS46</f>
        <v>0</v>
      </c>
      <c r="AT46" s="274">
        <f>'BS (Bull-Case)'!AT46-'BS (Base-Case)'!AT46</f>
        <v>0</v>
      </c>
      <c r="AU46" s="274">
        <f>'BS (Bull-Case)'!AU46-'BS (Base-Case)'!AU46</f>
        <v>0</v>
      </c>
      <c r="AV46" s="122">
        <f>'BS (Bull-Case)'!AV46-'BS (Base-Case)'!AV46</f>
        <v>0</v>
      </c>
    </row>
    <row r="47" spans="1:48" outlineLevel="1" x14ac:dyDescent="0.3">
      <c r="B47" s="435" t="s">
        <v>252</v>
      </c>
      <c r="C47" s="436"/>
      <c r="D47" s="275">
        <f>'BS (Bull-Case)'!D47-'BS (Base-Case)'!D47</f>
        <v>0</v>
      </c>
      <c r="E47" s="276">
        <f>'BS (Bull-Case)'!E47-'BS (Base-Case)'!E47</f>
        <v>0</v>
      </c>
      <c r="F47" s="276">
        <f>'BS (Bull-Case)'!F47-'BS (Base-Case)'!F47</f>
        <v>0</v>
      </c>
      <c r="G47" s="276">
        <f>'BS (Bull-Case)'!G47-'BS (Base-Case)'!G47</f>
        <v>0</v>
      </c>
      <c r="H47" s="126">
        <f>'BS (Bull-Case)'!H47-'BS (Base-Case)'!H47</f>
        <v>0</v>
      </c>
      <c r="I47" s="276">
        <f>'BS (Bull-Case)'!I47-'BS (Base-Case)'!I47</f>
        <v>0</v>
      </c>
      <c r="J47" s="276">
        <f>'BS (Bull-Case)'!J47-'BS (Base-Case)'!J47</f>
        <v>0</v>
      </c>
      <c r="K47" s="276">
        <f>'BS (Bull-Case)'!K47-'BS (Base-Case)'!K47</f>
        <v>0</v>
      </c>
      <c r="L47" s="276">
        <f>'BS (Bull-Case)'!L47-'BS (Base-Case)'!L47</f>
        <v>0</v>
      </c>
      <c r="M47" s="31">
        <f>'BS (Bull-Case)'!M47-'BS (Base-Case)'!M47</f>
        <v>0</v>
      </c>
      <c r="N47" s="276">
        <f>'BS (Bull-Case)'!N47-'BS (Base-Case)'!N47</f>
        <v>0</v>
      </c>
      <c r="O47" s="276">
        <f>'BS (Bull-Case)'!O47-'BS (Base-Case)'!O47</f>
        <v>0</v>
      </c>
      <c r="P47" s="276">
        <f>'BS (Bull-Case)'!P47-'BS (Base-Case)'!P47</f>
        <v>0</v>
      </c>
      <c r="Q47" s="276">
        <f>'BS (Bull-Case)'!Q47-'BS (Base-Case)'!Q47</f>
        <v>0</v>
      </c>
      <c r="R47" s="31">
        <f>'BS (Bull-Case)'!R47-'BS (Base-Case)'!R47</f>
        <v>0</v>
      </c>
      <c r="S47" s="276">
        <f>'BS (Bull-Case)'!S47-'BS (Base-Case)'!S47</f>
        <v>0</v>
      </c>
      <c r="T47" s="276">
        <f>'BS (Bull-Case)'!T47-'BS (Base-Case)'!T47</f>
        <v>0</v>
      </c>
      <c r="U47" s="276">
        <f>'BS (Bull-Case)'!U47-'BS (Base-Case)'!U47</f>
        <v>0</v>
      </c>
      <c r="V47" s="277">
        <f>'BS (Bull-Case)'!V47-'BS (Base-Case)'!V47</f>
        <v>0</v>
      </c>
      <c r="W47" s="31">
        <f>'BS (Bull-Case)'!W47-'BS (Base-Case)'!W47</f>
        <v>0</v>
      </c>
      <c r="X47" s="277">
        <f>'BS (Bull-Case)'!X47-'BS (Base-Case)'!X47</f>
        <v>0</v>
      </c>
      <c r="Y47" s="277">
        <f>'BS (Bull-Case)'!Y47-'BS (Base-Case)'!Y47</f>
        <v>0</v>
      </c>
      <c r="Z47" s="277">
        <f>'BS (Bull-Case)'!Z47-'BS (Base-Case)'!Z47</f>
        <v>0</v>
      </c>
      <c r="AA47" s="277">
        <f>'BS (Bull-Case)'!AA47-'BS (Base-Case)'!AA47</f>
        <v>0</v>
      </c>
      <c r="AB47" s="278">
        <f>'BS (Bull-Case)'!AB47-'BS (Base-Case)'!AB47</f>
        <v>0</v>
      </c>
      <c r="AC47" s="277">
        <f>'BS (Bull-Case)'!AC47-'BS (Base-Case)'!AC47</f>
        <v>0</v>
      </c>
      <c r="AD47" s="277">
        <f>'BS (Bull-Case)'!AD47-'BS (Base-Case)'!AD47</f>
        <v>0</v>
      </c>
      <c r="AE47" s="277">
        <f>'BS (Bull-Case)'!AE47-'BS (Base-Case)'!AE47</f>
        <v>0</v>
      </c>
      <c r="AF47" s="277">
        <f>'BS (Bull-Case)'!AF47-'BS (Base-Case)'!AF47</f>
        <v>0</v>
      </c>
      <c r="AG47" s="278">
        <f>'BS (Bull-Case)'!AG47-'BS (Base-Case)'!AG47</f>
        <v>0</v>
      </c>
      <c r="AH47" s="277">
        <f>'BS (Bull-Case)'!AH47-'BS (Base-Case)'!AH47</f>
        <v>0</v>
      </c>
      <c r="AI47" s="277">
        <f>'BS (Bull-Case)'!AI47-'BS (Base-Case)'!AI47</f>
        <v>0</v>
      </c>
      <c r="AJ47" s="277">
        <f>'BS (Bull-Case)'!AJ47-'BS (Base-Case)'!AJ47</f>
        <v>0</v>
      </c>
      <c r="AK47" s="277">
        <f>'BS (Bull-Case)'!AK47-'BS (Base-Case)'!AK47</f>
        <v>0</v>
      </c>
      <c r="AL47" s="278">
        <f>'BS (Bull-Case)'!AL47-'BS (Base-Case)'!AL47</f>
        <v>0</v>
      </c>
      <c r="AM47" s="277">
        <f>'BS (Bull-Case)'!AM47-'BS (Base-Case)'!AM47</f>
        <v>0</v>
      </c>
      <c r="AN47" s="277">
        <f>'BS (Bull-Case)'!AN47-'BS (Base-Case)'!AN47</f>
        <v>0</v>
      </c>
      <c r="AO47" s="277">
        <f>'BS (Bull-Case)'!AO47-'BS (Base-Case)'!AO47</f>
        <v>0</v>
      </c>
      <c r="AP47" s="277">
        <f>'BS (Bull-Case)'!AP47-'BS (Base-Case)'!AP47</f>
        <v>0</v>
      </c>
      <c r="AQ47" s="278">
        <f>'BS (Bull-Case)'!AQ47-'BS (Base-Case)'!AQ47</f>
        <v>0</v>
      </c>
      <c r="AR47" s="277">
        <f>'BS (Bull-Case)'!AR47-'BS (Base-Case)'!AR47</f>
        <v>0</v>
      </c>
      <c r="AS47" s="277">
        <f>'BS (Bull-Case)'!AS47-'BS (Base-Case)'!AS47</f>
        <v>0</v>
      </c>
      <c r="AT47" s="277">
        <f>'BS (Bull-Case)'!AT47-'BS (Base-Case)'!AT47</f>
        <v>0</v>
      </c>
      <c r="AU47" s="277">
        <f>'BS (Bull-Case)'!AU47-'BS (Base-Case)'!AU47</f>
        <v>0</v>
      </c>
      <c r="AV47" s="278">
        <f>'BS (Bull-Case)'!AV47-'BS (Base-Case)'!AV47</f>
        <v>0</v>
      </c>
    </row>
    <row r="48" spans="1:48" s="23" customFormat="1" outlineLevel="1" x14ac:dyDescent="0.3">
      <c r="B48" s="443" t="s">
        <v>253</v>
      </c>
      <c r="C48" s="444"/>
      <c r="D48" s="279">
        <f>'BS (Bull-Case)'!D48-'BS (Base-Case)'!D48</f>
        <v>0</v>
      </c>
      <c r="E48" s="279">
        <f>'BS (Bull-Case)'!E48-'BS (Base-Case)'!E48</f>
        <v>0</v>
      </c>
      <c r="F48" s="274">
        <f>'BS (Bull-Case)'!F48-'BS (Base-Case)'!F48</f>
        <v>0</v>
      </c>
      <c r="G48" s="274">
        <f>'BS (Bull-Case)'!G48-'BS (Base-Case)'!G48</f>
        <v>0</v>
      </c>
      <c r="H48" s="126">
        <f>'BS (Bull-Case)'!H48-'BS (Base-Case)'!H48</f>
        <v>0</v>
      </c>
      <c r="I48" s="274">
        <f>'BS (Bull-Case)'!I48-'BS (Base-Case)'!I48</f>
        <v>0</v>
      </c>
      <c r="J48" s="274">
        <f>'BS (Bull-Case)'!J48-'BS (Base-Case)'!J48</f>
        <v>0</v>
      </c>
      <c r="K48" s="274">
        <f>'BS (Bull-Case)'!K48-'BS (Base-Case)'!K48</f>
        <v>0</v>
      </c>
      <c r="L48" s="279">
        <f>'BS (Bull-Case)'!L48-'BS (Base-Case)'!L48</f>
        <v>0</v>
      </c>
      <c r="M48" s="31">
        <f>'BS (Bull-Case)'!M48-'BS (Base-Case)'!M48</f>
        <v>0</v>
      </c>
      <c r="N48" s="279">
        <f>'BS (Bull-Case)'!N48-'BS (Base-Case)'!N48</f>
        <v>0</v>
      </c>
      <c r="O48" s="279">
        <f>'BS (Bull-Case)'!O48-'BS (Base-Case)'!O48</f>
        <v>0</v>
      </c>
      <c r="P48" s="279">
        <f>'BS (Bull-Case)'!P48-'BS (Base-Case)'!P48</f>
        <v>0</v>
      </c>
      <c r="Q48" s="279">
        <f>'BS (Bull-Case)'!Q48-'BS (Base-Case)'!Q48</f>
        <v>0</v>
      </c>
      <c r="R48" s="31">
        <f>'BS (Bull-Case)'!R48-'BS (Base-Case)'!R48</f>
        <v>0</v>
      </c>
      <c r="S48" s="279">
        <f>'BS (Bull-Case)'!S48-'BS (Base-Case)'!S48</f>
        <v>0</v>
      </c>
      <c r="T48" s="279">
        <f>'BS (Bull-Case)'!T48-'BS (Base-Case)'!T48</f>
        <v>0</v>
      </c>
      <c r="U48" s="279">
        <f>'BS (Bull-Case)'!U48-'BS (Base-Case)'!U48</f>
        <v>0</v>
      </c>
      <c r="V48" s="279">
        <f>'BS (Bull-Case)'!V48-'BS (Base-Case)'!V48</f>
        <v>0</v>
      </c>
      <c r="W48" s="31">
        <f>'BS (Bull-Case)'!W48-'BS (Base-Case)'!W48</f>
        <v>0</v>
      </c>
      <c r="X48" s="279">
        <f>'BS (Bull-Case)'!X48-'BS (Base-Case)'!X48</f>
        <v>0</v>
      </c>
      <c r="Y48" s="279">
        <f>'BS (Bull-Case)'!Y48-'BS (Base-Case)'!Y48</f>
        <v>0</v>
      </c>
      <c r="Z48" s="279">
        <f>'BS (Bull-Case)'!Z48-'BS (Base-Case)'!Z48</f>
        <v>0</v>
      </c>
      <c r="AA48" s="279">
        <f>'BS (Bull-Case)'!AA48-'BS (Base-Case)'!AA48</f>
        <v>0</v>
      </c>
      <c r="AB48" s="31">
        <f>'BS (Bull-Case)'!AB48-'BS (Base-Case)'!AB48</f>
        <v>0</v>
      </c>
      <c r="AC48" s="279">
        <f>'BS (Bull-Case)'!AC48-'BS (Base-Case)'!AC48</f>
        <v>0</v>
      </c>
      <c r="AD48" s="279">
        <f>'BS (Bull-Case)'!AD48-'BS (Base-Case)'!AD48</f>
        <v>0</v>
      </c>
      <c r="AE48" s="279">
        <f>'BS (Bull-Case)'!AE48-'BS (Base-Case)'!AE48</f>
        <v>0</v>
      </c>
      <c r="AF48" s="279">
        <f>'BS (Bull-Case)'!AF48-'BS (Base-Case)'!AF48</f>
        <v>0</v>
      </c>
      <c r="AG48" s="31">
        <f>'BS (Bull-Case)'!AG48-'BS (Base-Case)'!AG48</f>
        <v>0</v>
      </c>
      <c r="AH48" s="279">
        <f>'BS (Bull-Case)'!AH48-'BS (Base-Case)'!AH48</f>
        <v>0</v>
      </c>
      <c r="AI48" s="279">
        <f>'BS (Bull-Case)'!AI48-'BS (Base-Case)'!AI48</f>
        <v>0</v>
      </c>
      <c r="AJ48" s="279">
        <f>'BS (Bull-Case)'!AJ48-'BS (Base-Case)'!AJ48</f>
        <v>0</v>
      </c>
      <c r="AK48" s="279">
        <f>'BS (Bull-Case)'!AK48-'BS (Base-Case)'!AK48</f>
        <v>0</v>
      </c>
      <c r="AL48" s="31">
        <f>'BS (Bull-Case)'!AL48-'BS (Base-Case)'!AL48</f>
        <v>0</v>
      </c>
      <c r="AM48" s="279">
        <f>'BS (Bull-Case)'!AM48-'BS (Base-Case)'!AM48</f>
        <v>0</v>
      </c>
      <c r="AN48" s="279">
        <f>'BS (Bull-Case)'!AN48-'BS (Base-Case)'!AN48</f>
        <v>0</v>
      </c>
      <c r="AO48" s="279">
        <f>'BS (Bull-Case)'!AO48-'BS (Base-Case)'!AO48</f>
        <v>0</v>
      </c>
      <c r="AP48" s="279">
        <f>'BS (Bull-Case)'!AP48-'BS (Base-Case)'!AP48</f>
        <v>0</v>
      </c>
      <c r="AQ48" s="31">
        <f>'BS (Bull-Case)'!AQ48-'BS (Base-Case)'!AQ48</f>
        <v>0</v>
      </c>
      <c r="AR48" s="279">
        <f>'BS (Bull-Case)'!AR48-'BS (Base-Case)'!AR48</f>
        <v>0</v>
      </c>
      <c r="AS48" s="279">
        <f>'BS (Bull-Case)'!AS48-'BS (Base-Case)'!AS48</f>
        <v>0</v>
      </c>
      <c r="AT48" s="279">
        <f>'BS (Bull-Case)'!AT48-'BS (Base-Case)'!AT48</f>
        <v>0</v>
      </c>
      <c r="AU48" s="279">
        <f>'BS (Bull-Case)'!AU48-'BS (Base-Case)'!AU48</f>
        <v>0</v>
      </c>
      <c r="AV48" s="31">
        <f>'BS (Bull-Case)'!AV48-'BS (Base-Case)'!AV48</f>
        <v>0</v>
      </c>
    </row>
    <row r="49" spans="2:48" outlineLevel="1" x14ac:dyDescent="0.3">
      <c r="B49" s="435" t="s">
        <v>254</v>
      </c>
      <c r="C49" s="436"/>
      <c r="D49" s="275">
        <f>'BS (Bull-Case)'!D49-'BS (Base-Case)'!D49</f>
        <v>0</v>
      </c>
      <c r="E49" s="275">
        <f>'BS (Bull-Case)'!E49-'BS (Base-Case)'!E49</f>
        <v>0</v>
      </c>
      <c r="F49" s="276">
        <f>'BS (Bull-Case)'!F49-'BS (Base-Case)'!F49</f>
        <v>0</v>
      </c>
      <c r="G49" s="276">
        <f>'BS (Bull-Case)'!G49-'BS (Base-Case)'!G49</f>
        <v>0</v>
      </c>
      <c r="H49" s="126">
        <f>'BS (Bull-Case)'!H49-'BS (Base-Case)'!H49</f>
        <v>0</v>
      </c>
      <c r="I49" s="276">
        <f>'BS (Bull-Case)'!I49-'BS (Base-Case)'!I49</f>
        <v>0</v>
      </c>
      <c r="J49" s="276">
        <f>'BS (Bull-Case)'!J49-'BS (Base-Case)'!J49</f>
        <v>0</v>
      </c>
      <c r="K49" s="276">
        <f>'BS (Bull-Case)'!K49-'BS (Base-Case)'!K49</f>
        <v>0</v>
      </c>
      <c r="L49" s="276">
        <f>'BS (Bull-Case)'!L49-'BS (Base-Case)'!L49</f>
        <v>0</v>
      </c>
      <c r="M49" s="31">
        <f>'BS (Bull-Case)'!M49-'BS (Base-Case)'!M49</f>
        <v>0</v>
      </c>
      <c r="N49" s="276">
        <f>'BS (Bull-Case)'!N49-'BS (Base-Case)'!N49</f>
        <v>0</v>
      </c>
      <c r="O49" s="276">
        <f>'BS (Bull-Case)'!O49-'BS (Base-Case)'!O49</f>
        <v>0</v>
      </c>
      <c r="P49" s="276">
        <f>'BS (Bull-Case)'!P49-'BS (Base-Case)'!P49</f>
        <v>0</v>
      </c>
      <c r="Q49" s="276">
        <f>'BS (Bull-Case)'!Q49-'BS (Base-Case)'!Q49</f>
        <v>0</v>
      </c>
      <c r="R49" s="31">
        <f>'BS (Bull-Case)'!R49-'BS (Base-Case)'!R49</f>
        <v>0</v>
      </c>
      <c r="S49" s="276">
        <f>'BS (Bull-Case)'!S49-'BS (Base-Case)'!S49</f>
        <v>0</v>
      </c>
      <c r="T49" s="276">
        <f>'BS (Bull-Case)'!T49-'BS (Base-Case)'!T49</f>
        <v>0</v>
      </c>
      <c r="U49" s="276">
        <f>'BS (Bull-Case)'!U49-'BS (Base-Case)'!U49</f>
        <v>0</v>
      </c>
      <c r="V49" s="277">
        <f>'BS (Bull-Case)'!V49-'BS (Base-Case)'!V49</f>
        <v>0</v>
      </c>
      <c r="W49" s="31">
        <f>'BS (Bull-Case)'!W49-'BS (Base-Case)'!W49</f>
        <v>0</v>
      </c>
      <c r="X49" s="277">
        <f>'BS (Bull-Case)'!X49-'BS (Base-Case)'!X49</f>
        <v>0</v>
      </c>
      <c r="Y49" s="277">
        <f>'BS (Bull-Case)'!Y49-'BS (Base-Case)'!Y49</f>
        <v>0</v>
      </c>
      <c r="Z49" s="277">
        <f>'BS (Bull-Case)'!Z49-'BS (Base-Case)'!Z49</f>
        <v>0</v>
      </c>
      <c r="AA49" s="277">
        <f>'BS (Bull-Case)'!AA49-'BS (Base-Case)'!AA49</f>
        <v>0</v>
      </c>
      <c r="AB49" s="278">
        <f>'BS (Bull-Case)'!AB49-'BS (Base-Case)'!AB49</f>
        <v>0</v>
      </c>
      <c r="AC49" s="277">
        <f>'BS (Bull-Case)'!AC49-'BS (Base-Case)'!AC49</f>
        <v>0</v>
      </c>
      <c r="AD49" s="277">
        <f>'BS (Bull-Case)'!AD49-'BS (Base-Case)'!AD49</f>
        <v>0</v>
      </c>
      <c r="AE49" s="277">
        <f>'BS (Bull-Case)'!AE49-'BS (Base-Case)'!AE49</f>
        <v>0</v>
      </c>
      <c r="AF49" s="277">
        <f>'BS (Bull-Case)'!AF49-'BS (Base-Case)'!AF49</f>
        <v>0</v>
      </c>
      <c r="AG49" s="278">
        <f>'BS (Bull-Case)'!AG49-'BS (Base-Case)'!AG49</f>
        <v>0</v>
      </c>
      <c r="AH49" s="277">
        <f>'BS (Bull-Case)'!AH49-'BS (Base-Case)'!AH49</f>
        <v>0</v>
      </c>
      <c r="AI49" s="277">
        <f>'BS (Bull-Case)'!AI49-'BS (Base-Case)'!AI49</f>
        <v>0</v>
      </c>
      <c r="AJ49" s="277">
        <f>'BS (Bull-Case)'!AJ49-'BS (Base-Case)'!AJ49</f>
        <v>0</v>
      </c>
      <c r="AK49" s="277">
        <f>'BS (Bull-Case)'!AK49-'BS (Base-Case)'!AK49</f>
        <v>0</v>
      </c>
      <c r="AL49" s="278">
        <f>'BS (Bull-Case)'!AL49-'BS (Base-Case)'!AL49</f>
        <v>0</v>
      </c>
      <c r="AM49" s="277">
        <f>'BS (Bull-Case)'!AM49-'BS (Base-Case)'!AM49</f>
        <v>0</v>
      </c>
      <c r="AN49" s="277">
        <f>'BS (Bull-Case)'!AN49-'BS (Base-Case)'!AN49</f>
        <v>0</v>
      </c>
      <c r="AO49" s="277">
        <f>'BS (Bull-Case)'!AO49-'BS (Base-Case)'!AO49</f>
        <v>0</v>
      </c>
      <c r="AP49" s="277">
        <f>'BS (Bull-Case)'!AP49-'BS (Base-Case)'!AP49</f>
        <v>0</v>
      </c>
      <c r="AQ49" s="278">
        <f>'BS (Bull-Case)'!AQ49-'BS (Base-Case)'!AQ49</f>
        <v>0</v>
      </c>
      <c r="AR49" s="277">
        <f>'BS (Bull-Case)'!AR49-'BS (Base-Case)'!AR49</f>
        <v>0</v>
      </c>
      <c r="AS49" s="277">
        <f>'BS (Bull-Case)'!AS49-'BS (Base-Case)'!AS49</f>
        <v>0</v>
      </c>
      <c r="AT49" s="277">
        <f>'BS (Bull-Case)'!AT49-'BS (Base-Case)'!AT49</f>
        <v>0</v>
      </c>
      <c r="AU49" s="277">
        <f>'BS (Bull-Case)'!AU49-'BS (Base-Case)'!AU49</f>
        <v>0</v>
      </c>
      <c r="AV49" s="278">
        <f>'BS (Bull-Case)'!AV49-'BS (Base-Case)'!AV49</f>
        <v>0</v>
      </c>
    </row>
    <row r="50" spans="2:48" s="23" customFormat="1" outlineLevel="1" x14ac:dyDescent="0.3">
      <c r="B50" s="443" t="s">
        <v>253</v>
      </c>
      <c r="C50" s="444"/>
      <c r="D50" s="279">
        <f>'BS (Bull-Case)'!D50-'BS (Base-Case)'!D50</f>
        <v>0</v>
      </c>
      <c r="E50" s="279">
        <f>'BS (Bull-Case)'!E50-'BS (Base-Case)'!E50</f>
        <v>0</v>
      </c>
      <c r="F50" s="274">
        <f>'BS (Bull-Case)'!F50-'BS (Base-Case)'!F50</f>
        <v>0</v>
      </c>
      <c r="G50" s="274">
        <f>'BS (Bull-Case)'!G50-'BS (Base-Case)'!G50</f>
        <v>0</v>
      </c>
      <c r="H50" s="126">
        <f>'BS (Bull-Case)'!H50-'BS (Base-Case)'!H50</f>
        <v>0</v>
      </c>
      <c r="I50" s="274">
        <f>'BS (Bull-Case)'!I50-'BS (Base-Case)'!I50</f>
        <v>0</v>
      </c>
      <c r="J50" s="274">
        <f>'BS (Bull-Case)'!J50-'BS (Base-Case)'!J50</f>
        <v>0</v>
      </c>
      <c r="K50" s="274">
        <f>'BS (Bull-Case)'!K50-'BS (Base-Case)'!K50</f>
        <v>0</v>
      </c>
      <c r="L50" s="279">
        <f>'BS (Bull-Case)'!L50-'BS (Base-Case)'!L50</f>
        <v>0</v>
      </c>
      <c r="M50" s="31">
        <f>'BS (Bull-Case)'!M50-'BS (Base-Case)'!M50</f>
        <v>0</v>
      </c>
      <c r="N50" s="279">
        <f>'BS (Bull-Case)'!N50-'BS (Base-Case)'!N50</f>
        <v>0</v>
      </c>
      <c r="O50" s="279">
        <f>'BS (Bull-Case)'!O50-'BS (Base-Case)'!O50</f>
        <v>0</v>
      </c>
      <c r="P50" s="279">
        <f>'BS (Bull-Case)'!P50-'BS (Base-Case)'!P50</f>
        <v>0</v>
      </c>
      <c r="Q50" s="279">
        <f>'BS (Bull-Case)'!Q50-'BS (Base-Case)'!Q50</f>
        <v>0</v>
      </c>
      <c r="R50" s="31">
        <f>'BS (Bull-Case)'!R50-'BS (Base-Case)'!R50</f>
        <v>0</v>
      </c>
      <c r="S50" s="279">
        <f>'BS (Bull-Case)'!S50-'BS (Base-Case)'!S50</f>
        <v>0</v>
      </c>
      <c r="T50" s="279">
        <f>'BS (Bull-Case)'!T50-'BS (Base-Case)'!T50</f>
        <v>0</v>
      </c>
      <c r="U50" s="279">
        <f>'BS (Bull-Case)'!U50-'BS (Base-Case)'!U50</f>
        <v>0</v>
      </c>
      <c r="V50" s="279">
        <f>'BS (Bull-Case)'!V50-'BS (Base-Case)'!V50</f>
        <v>0</v>
      </c>
      <c r="W50" s="31">
        <f>'BS (Bull-Case)'!W50-'BS (Base-Case)'!W50</f>
        <v>0</v>
      </c>
      <c r="X50" s="279">
        <f>'BS (Bull-Case)'!X50-'BS (Base-Case)'!X50</f>
        <v>0</v>
      </c>
      <c r="Y50" s="279">
        <f>'BS (Bull-Case)'!Y50-'BS (Base-Case)'!Y50</f>
        <v>0</v>
      </c>
      <c r="Z50" s="279">
        <f>'BS (Bull-Case)'!Z50-'BS (Base-Case)'!Z50</f>
        <v>0</v>
      </c>
      <c r="AA50" s="279">
        <f>'BS (Bull-Case)'!AA50-'BS (Base-Case)'!AA50</f>
        <v>0</v>
      </c>
      <c r="AB50" s="31">
        <f>'BS (Bull-Case)'!AB50-'BS (Base-Case)'!AB50</f>
        <v>0</v>
      </c>
      <c r="AC50" s="279">
        <f>'BS (Bull-Case)'!AC50-'BS (Base-Case)'!AC50</f>
        <v>0</v>
      </c>
      <c r="AD50" s="279">
        <f>'BS (Bull-Case)'!AD50-'BS (Base-Case)'!AD50</f>
        <v>0</v>
      </c>
      <c r="AE50" s="279">
        <f>'BS (Bull-Case)'!AE50-'BS (Base-Case)'!AE50</f>
        <v>0</v>
      </c>
      <c r="AF50" s="279">
        <f>'BS (Bull-Case)'!AF50-'BS (Base-Case)'!AF50</f>
        <v>0</v>
      </c>
      <c r="AG50" s="31">
        <f>'BS (Bull-Case)'!AG50-'BS (Base-Case)'!AG50</f>
        <v>0</v>
      </c>
      <c r="AH50" s="279">
        <f>'BS (Bull-Case)'!AH50-'BS (Base-Case)'!AH50</f>
        <v>0</v>
      </c>
      <c r="AI50" s="279">
        <f>'BS (Bull-Case)'!AI50-'BS (Base-Case)'!AI50</f>
        <v>0</v>
      </c>
      <c r="AJ50" s="279">
        <f>'BS (Bull-Case)'!AJ50-'BS (Base-Case)'!AJ50</f>
        <v>0</v>
      </c>
      <c r="AK50" s="279">
        <f>'BS (Bull-Case)'!AK50-'BS (Base-Case)'!AK50</f>
        <v>0</v>
      </c>
      <c r="AL50" s="31">
        <f>'BS (Bull-Case)'!AL50-'BS (Base-Case)'!AL50</f>
        <v>0</v>
      </c>
      <c r="AM50" s="279">
        <f>'BS (Bull-Case)'!AM50-'BS (Base-Case)'!AM50</f>
        <v>0</v>
      </c>
      <c r="AN50" s="279">
        <f>'BS (Bull-Case)'!AN50-'BS (Base-Case)'!AN50</f>
        <v>0</v>
      </c>
      <c r="AO50" s="279">
        <f>'BS (Bull-Case)'!AO50-'BS (Base-Case)'!AO50</f>
        <v>0</v>
      </c>
      <c r="AP50" s="279">
        <f>'BS (Bull-Case)'!AP50-'BS (Base-Case)'!AP50</f>
        <v>0</v>
      </c>
      <c r="AQ50" s="31">
        <f>'BS (Bull-Case)'!AQ50-'BS (Base-Case)'!AQ50</f>
        <v>0</v>
      </c>
      <c r="AR50" s="279">
        <f>'BS (Bull-Case)'!AR50-'BS (Base-Case)'!AR50</f>
        <v>0</v>
      </c>
      <c r="AS50" s="279">
        <f>'BS (Bull-Case)'!AS50-'BS (Base-Case)'!AS50</f>
        <v>0</v>
      </c>
      <c r="AT50" s="279">
        <f>'BS (Bull-Case)'!AT50-'BS (Base-Case)'!AT50</f>
        <v>0</v>
      </c>
      <c r="AU50" s="279">
        <f>'BS (Bull-Case)'!AU50-'BS (Base-Case)'!AU50</f>
        <v>0</v>
      </c>
      <c r="AV50" s="31">
        <f>'BS (Bull-Case)'!AV50-'BS (Base-Case)'!AV50</f>
        <v>0</v>
      </c>
    </row>
    <row r="51" spans="2:48" s="23" customFormat="1" outlineLevel="1" x14ac:dyDescent="0.3">
      <c r="B51" s="435" t="s">
        <v>255</v>
      </c>
      <c r="C51" s="436"/>
      <c r="D51" s="275">
        <f>'BS (Bull-Case)'!D51-'BS (Base-Case)'!D51</f>
        <v>0</v>
      </c>
      <c r="E51" s="275">
        <f>'BS (Bull-Case)'!E51-'BS (Base-Case)'!E51</f>
        <v>0</v>
      </c>
      <c r="F51" s="276">
        <f>'BS (Bull-Case)'!F51-'BS (Base-Case)'!F51</f>
        <v>0</v>
      </c>
      <c r="G51" s="276">
        <f>'BS (Bull-Case)'!G51-'BS (Base-Case)'!G51</f>
        <v>0</v>
      </c>
      <c r="H51" s="127">
        <f>'BS (Bull-Case)'!H51-'BS (Base-Case)'!H51</f>
        <v>0</v>
      </c>
      <c r="I51" s="276">
        <f>'BS (Bull-Case)'!I51-'BS (Base-Case)'!I51</f>
        <v>0</v>
      </c>
      <c r="J51" s="276">
        <f>'BS (Bull-Case)'!J51-'BS (Base-Case)'!J51</f>
        <v>0</v>
      </c>
      <c r="K51" s="276">
        <f>'BS (Bull-Case)'!K51-'BS (Base-Case)'!K51</f>
        <v>0</v>
      </c>
      <c r="L51" s="276">
        <f>'BS (Bull-Case)'!L51-'BS (Base-Case)'!L51</f>
        <v>0</v>
      </c>
      <c r="M51" s="280">
        <f>'BS (Bull-Case)'!M51-'BS (Base-Case)'!M51</f>
        <v>0</v>
      </c>
      <c r="N51" s="276">
        <f>'BS (Bull-Case)'!N51-'BS (Base-Case)'!N51</f>
        <v>0</v>
      </c>
      <c r="O51" s="276">
        <f>'BS (Bull-Case)'!O51-'BS (Base-Case)'!O51</f>
        <v>0</v>
      </c>
      <c r="P51" s="276">
        <f>'BS (Bull-Case)'!P51-'BS (Base-Case)'!P51</f>
        <v>0</v>
      </c>
      <c r="Q51" s="276">
        <f>'BS (Bull-Case)'!Q51-'BS (Base-Case)'!Q51</f>
        <v>0</v>
      </c>
      <c r="R51" s="280">
        <f>'BS (Bull-Case)'!R51-'BS (Base-Case)'!R51</f>
        <v>0</v>
      </c>
      <c r="S51" s="276">
        <f>'BS (Bull-Case)'!S51-'BS (Base-Case)'!S51</f>
        <v>0</v>
      </c>
      <c r="T51" s="276">
        <f>'BS (Bull-Case)'!T51-'BS (Base-Case)'!T51</f>
        <v>0</v>
      </c>
      <c r="U51" s="276">
        <f>'BS (Bull-Case)'!U51-'BS (Base-Case)'!U51</f>
        <v>0</v>
      </c>
      <c r="V51" s="277">
        <f>'BS (Bull-Case)'!V51-'BS (Base-Case)'!V51</f>
        <v>0</v>
      </c>
      <c r="W51" s="280">
        <f>'BS (Bull-Case)'!W51-'BS (Base-Case)'!W51</f>
        <v>0</v>
      </c>
      <c r="X51" s="277">
        <f>'BS (Bull-Case)'!X51-'BS (Base-Case)'!X51</f>
        <v>0</v>
      </c>
      <c r="Y51" s="277">
        <f>'BS (Bull-Case)'!Y51-'BS (Base-Case)'!Y51</f>
        <v>0</v>
      </c>
      <c r="Z51" s="277">
        <f>'BS (Bull-Case)'!Z51-'BS (Base-Case)'!Z51</f>
        <v>0</v>
      </c>
      <c r="AA51" s="277">
        <f>'BS (Bull-Case)'!AA51-'BS (Base-Case)'!AA51</f>
        <v>0</v>
      </c>
      <c r="AB51" s="31">
        <f>'BS (Bull-Case)'!AB51-'BS (Base-Case)'!AB51</f>
        <v>0</v>
      </c>
      <c r="AC51" s="277">
        <f>'BS (Bull-Case)'!AC51-'BS (Base-Case)'!AC51</f>
        <v>0</v>
      </c>
      <c r="AD51" s="277">
        <f>'BS (Bull-Case)'!AD51-'BS (Base-Case)'!AD51</f>
        <v>0</v>
      </c>
      <c r="AE51" s="277">
        <f>'BS (Bull-Case)'!AE51-'BS (Base-Case)'!AE51</f>
        <v>0</v>
      </c>
      <c r="AF51" s="277">
        <f>'BS (Bull-Case)'!AF51-'BS (Base-Case)'!AF51</f>
        <v>0</v>
      </c>
      <c r="AG51" s="31">
        <f>'BS (Bull-Case)'!AG51-'BS (Base-Case)'!AG51</f>
        <v>0</v>
      </c>
      <c r="AH51" s="277">
        <f>'BS (Bull-Case)'!AH51-'BS (Base-Case)'!AH51</f>
        <v>0</v>
      </c>
      <c r="AI51" s="277">
        <f>'BS (Bull-Case)'!AI51-'BS (Base-Case)'!AI51</f>
        <v>0</v>
      </c>
      <c r="AJ51" s="277">
        <f>'BS (Bull-Case)'!AJ51-'BS (Base-Case)'!AJ51</f>
        <v>0</v>
      </c>
      <c r="AK51" s="277">
        <f>'BS (Bull-Case)'!AK51-'BS (Base-Case)'!AK51</f>
        <v>0</v>
      </c>
      <c r="AL51" s="31">
        <f>'BS (Bull-Case)'!AL51-'BS (Base-Case)'!AL51</f>
        <v>0</v>
      </c>
      <c r="AM51" s="277">
        <f>'BS (Bull-Case)'!AM51-'BS (Base-Case)'!AM51</f>
        <v>0</v>
      </c>
      <c r="AN51" s="277">
        <f>'BS (Bull-Case)'!AN51-'BS (Base-Case)'!AN51</f>
        <v>0</v>
      </c>
      <c r="AO51" s="277">
        <f>'BS (Bull-Case)'!AO51-'BS (Base-Case)'!AO51</f>
        <v>0</v>
      </c>
      <c r="AP51" s="277">
        <f>'BS (Bull-Case)'!AP51-'BS (Base-Case)'!AP51</f>
        <v>0</v>
      </c>
      <c r="AQ51" s="31">
        <f>'BS (Bull-Case)'!AQ51-'BS (Base-Case)'!AQ51</f>
        <v>0</v>
      </c>
      <c r="AR51" s="277">
        <f>'BS (Bull-Case)'!AR51-'BS (Base-Case)'!AR51</f>
        <v>0</v>
      </c>
      <c r="AS51" s="277">
        <f>'BS (Bull-Case)'!AS51-'BS (Base-Case)'!AS51</f>
        <v>0</v>
      </c>
      <c r="AT51" s="277">
        <f>'BS (Bull-Case)'!AT51-'BS (Base-Case)'!AT51</f>
        <v>0</v>
      </c>
      <c r="AU51" s="277">
        <f>'BS (Bull-Case)'!AU51-'BS (Base-Case)'!AU51</f>
        <v>0</v>
      </c>
      <c r="AV51" s="31">
        <f>'BS (Bull-Case)'!AV51-'BS (Base-Case)'!AV51</f>
        <v>0</v>
      </c>
    </row>
    <row r="52" spans="2:48" s="23" customFormat="1" outlineLevel="1" x14ac:dyDescent="0.3">
      <c r="B52" s="443" t="s">
        <v>256</v>
      </c>
      <c r="C52" s="444"/>
      <c r="D52" s="16">
        <f>'BS (Bull-Case)'!D52-'BS (Base-Case)'!D52</f>
        <v>0</v>
      </c>
      <c r="E52" s="16">
        <f>'BS (Bull-Case)'!E52-'BS (Base-Case)'!E52</f>
        <v>0</v>
      </c>
      <c r="F52" s="101">
        <f>'BS (Bull-Case)'!F52-'BS (Base-Case)'!F52</f>
        <v>0</v>
      </c>
      <c r="G52" s="101">
        <f>'BS (Bull-Case)'!G52-'BS (Base-Case)'!G52</f>
        <v>0</v>
      </c>
      <c r="H52" s="128">
        <f>'BS (Bull-Case)'!H52-'BS (Base-Case)'!H52</f>
        <v>0</v>
      </c>
      <c r="I52" s="101">
        <f>'BS (Bull-Case)'!I52-'BS (Base-Case)'!I52</f>
        <v>0</v>
      </c>
      <c r="J52" s="101">
        <f>'BS (Bull-Case)'!J52-'BS (Base-Case)'!J52</f>
        <v>0</v>
      </c>
      <c r="K52" s="101">
        <f>'BS (Bull-Case)'!K52-'BS (Base-Case)'!K52</f>
        <v>0</v>
      </c>
      <c r="L52" s="16">
        <f>'BS (Bull-Case)'!L52-'BS (Base-Case)'!L52</f>
        <v>0</v>
      </c>
      <c r="M52" s="28">
        <f>'BS (Bull-Case)'!M52-'BS (Base-Case)'!M52</f>
        <v>0</v>
      </c>
      <c r="N52" s="16">
        <f>'BS (Bull-Case)'!N52-'BS (Base-Case)'!N52</f>
        <v>0</v>
      </c>
      <c r="O52" s="16">
        <f>'BS (Bull-Case)'!O52-'BS (Base-Case)'!O52</f>
        <v>0</v>
      </c>
      <c r="P52" s="16">
        <f>'BS (Bull-Case)'!P52-'BS (Base-Case)'!P52</f>
        <v>0</v>
      </c>
      <c r="Q52" s="16">
        <f>'BS (Bull-Case)'!Q52-'BS (Base-Case)'!Q52</f>
        <v>0</v>
      </c>
      <c r="R52" s="28">
        <f>'BS (Bull-Case)'!R52-'BS (Base-Case)'!R52</f>
        <v>0</v>
      </c>
      <c r="S52" s="16">
        <f>'BS (Bull-Case)'!S52-'BS (Base-Case)'!S52</f>
        <v>0</v>
      </c>
      <c r="T52" s="16">
        <f>'BS (Bull-Case)'!T52-'BS (Base-Case)'!T52</f>
        <v>0</v>
      </c>
      <c r="U52" s="16">
        <f>'BS (Bull-Case)'!U52-'BS (Base-Case)'!U52</f>
        <v>0</v>
      </c>
      <c r="V52" s="16">
        <f>'BS (Bull-Case)'!V52-'BS (Base-Case)'!V52</f>
        <v>0</v>
      </c>
      <c r="W52" s="28">
        <f>'BS (Bull-Case)'!W52-'BS (Base-Case)'!W52</f>
        <v>0</v>
      </c>
      <c r="X52" s="16">
        <f>'BS (Bull-Case)'!X52-'BS (Base-Case)'!X52</f>
        <v>0</v>
      </c>
      <c r="Y52" s="16">
        <f>'BS (Bull-Case)'!Y52-'BS (Base-Case)'!Y52</f>
        <v>0</v>
      </c>
      <c r="Z52" s="16">
        <f>'BS (Bull-Case)'!Z52-'BS (Base-Case)'!Z52</f>
        <v>0</v>
      </c>
      <c r="AA52" s="16">
        <f>'BS (Bull-Case)'!AA52-'BS (Base-Case)'!AA52</f>
        <v>0</v>
      </c>
      <c r="AB52" s="28">
        <f>'BS (Bull-Case)'!AB52-'BS (Base-Case)'!AB52</f>
        <v>0</v>
      </c>
      <c r="AC52" s="16">
        <f>'BS (Bull-Case)'!AC52-'BS (Base-Case)'!AC52</f>
        <v>0</v>
      </c>
      <c r="AD52" s="16">
        <f>'BS (Bull-Case)'!AD52-'BS (Base-Case)'!AD52</f>
        <v>0</v>
      </c>
      <c r="AE52" s="16">
        <f>'BS (Bull-Case)'!AE52-'BS (Base-Case)'!AE52</f>
        <v>0</v>
      </c>
      <c r="AF52" s="16">
        <f>'BS (Bull-Case)'!AF52-'BS (Base-Case)'!AF52</f>
        <v>0</v>
      </c>
      <c r="AG52" s="28">
        <f>'BS (Bull-Case)'!AG52-'BS (Base-Case)'!AG52</f>
        <v>0</v>
      </c>
      <c r="AH52" s="16">
        <f>'BS (Bull-Case)'!AH52-'BS (Base-Case)'!AH52</f>
        <v>0</v>
      </c>
      <c r="AI52" s="16">
        <f>'BS (Bull-Case)'!AI52-'BS (Base-Case)'!AI52</f>
        <v>0</v>
      </c>
      <c r="AJ52" s="16">
        <f>'BS (Bull-Case)'!AJ52-'BS (Base-Case)'!AJ52</f>
        <v>0</v>
      </c>
      <c r="AK52" s="16">
        <f>'BS (Bull-Case)'!AK52-'BS (Base-Case)'!AK52</f>
        <v>0</v>
      </c>
      <c r="AL52" s="28">
        <f>'BS (Bull-Case)'!AL52-'BS (Base-Case)'!AL52</f>
        <v>0</v>
      </c>
      <c r="AM52" s="16">
        <f>'BS (Bull-Case)'!AM52-'BS (Base-Case)'!AM52</f>
        <v>0</v>
      </c>
      <c r="AN52" s="16">
        <f>'BS (Bull-Case)'!AN52-'BS (Base-Case)'!AN52</f>
        <v>0</v>
      </c>
      <c r="AO52" s="16">
        <f>'BS (Bull-Case)'!AO52-'BS (Base-Case)'!AO52</f>
        <v>0</v>
      </c>
      <c r="AP52" s="16">
        <f>'BS (Bull-Case)'!AP52-'BS (Base-Case)'!AP52</f>
        <v>0</v>
      </c>
      <c r="AQ52" s="28">
        <f>'BS (Bull-Case)'!AQ52-'BS (Base-Case)'!AQ52</f>
        <v>0</v>
      </c>
      <c r="AR52" s="16">
        <f>'BS (Bull-Case)'!AR52-'BS (Base-Case)'!AR52</f>
        <v>0</v>
      </c>
      <c r="AS52" s="16">
        <f>'BS (Bull-Case)'!AS52-'BS (Base-Case)'!AS52</f>
        <v>0</v>
      </c>
      <c r="AT52" s="16">
        <f>'BS (Bull-Case)'!AT52-'BS (Base-Case)'!AT52</f>
        <v>0</v>
      </c>
      <c r="AU52" s="16">
        <f>'BS (Bull-Case)'!AU52-'BS (Base-Case)'!AU52</f>
        <v>0</v>
      </c>
      <c r="AV52" s="28">
        <f>'BS (Bull-Case)'!AV52-'BS (Base-Case)'!AV52</f>
        <v>0</v>
      </c>
    </row>
    <row r="53" spans="2:48" s="23" customFormat="1" outlineLevel="1" x14ac:dyDescent="0.3">
      <c r="B53" s="435" t="s">
        <v>257</v>
      </c>
      <c r="C53" s="436"/>
      <c r="D53" s="30">
        <f>'BS (Bull-Case)'!D53-'BS (Base-Case)'!D53</f>
        <v>0</v>
      </c>
      <c r="E53" s="30">
        <f>'BS (Bull-Case)'!E53-'BS (Base-Case)'!E53</f>
        <v>0</v>
      </c>
      <c r="F53" s="118">
        <f>'BS (Bull-Case)'!F53-'BS (Base-Case)'!F53</f>
        <v>0</v>
      </c>
      <c r="G53" s="118">
        <f>'BS (Bull-Case)'!G53-'BS (Base-Case)'!G53</f>
        <v>0</v>
      </c>
      <c r="H53" s="128">
        <f>'BS (Bull-Case)'!H53-'BS (Base-Case)'!H53</f>
        <v>0</v>
      </c>
      <c r="I53" s="118">
        <f>'BS (Bull-Case)'!I53-'BS (Base-Case)'!I53</f>
        <v>0</v>
      </c>
      <c r="J53" s="118">
        <f>'BS (Bull-Case)'!J53-'BS (Base-Case)'!J53</f>
        <v>0</v>
      </c>
      <c r="K53" s="118">
        <f>'BS (Bull-Case)'!K53-'BS (Base-Case)'!K53</f>
        <v>0</v>
      </c>
      <c r="L53" s="118">
        <f>'BS (Bull-Case)'!L53-'BS (Base-Case)'!L53</f>
        <v>0</v>
      </c>
      <c r="M53" s="28">
        <f>'BS (Bull-Case)'!M53-'BS (Base-Case)'!M53</f>
        <v>0</v>
      </c>
      <c r="N53" s="118">
        <f>'BS (Bull-Case)'!N53-'BS (Base-Case)'!N53</f>
        <v>0</v>
      </c>
      <c r="O53" s="118">
        <f>'BS (Bull-Case)'!O53-'BS (Base-Case)'!O53</f>
        <v>0</v>
      </c>
      <c r="P53" s="118">
        <f>'BS (Bull-Case)'!P53-'BS (Base-Case)'!P53</f>
        <v>0</v>
      </c>
      <c r="Q53" s="118">
        <f>'BS (Bull-Case)'!Q53-'BS (Base-Case)'!Q53</f>
        <v>0</v>
      </c>
      <c r="R53" s="28">
        <f>'BS (Bull-Case)'!R53-'BS (Base-Case)'!R53</f>
        <v>0</v>
      </c>
      <c r="S53" s="118">
        <f>'BS (Bull-Case)'!S53-'BS (Base-Case)'!S53</f>
        <v>0</v>
      </c>
      <c r="T53" s="118">
        <f>'BS (Bull-Case)'!T53-'BS (Base-Case)'!T53</f>
        <v>0</v>
      </c>
      <c r="U53" s="118">
        <f>'BS (Bull-Case)'!U53-'BS (Base-Case)'!U53</f>
        <v>0</v>
      </c>
      <c r="V53" s="34">
        <f>'BS (Bull-Case)'!V53-'BS (Base-Case)'!V53</f>
        <v>0</v>
      </c>
      <c r="W53" s="28">
        <f>'BS (Bull-Case)'!W53-'BS (Base-Case)'!W53</f>
        <v>0</v>
      </c>
      <c r="X53" s="34">
        <f>'BS (Bull-Case)'!X53-'BS (Base-Case)'!X53</f>
        <v>0</v>
      </c>
      <c r="Y53" s="34">
        <f>'BS (Bull-Case)'!Y53-'BS (Base-Case)'!Y53</f>
        <v>0</v>
      </c>
      <c r="Z53" s="34">
        <f>'BS (Bull-Case)'!Z53-'BS (Base-Case)'!Z53</f>
        <v>0</v>
      </c>
      <c r="AA53" s="34">
        <f>'BS (Bull-Case)'!AA53-'BS (Base-Case)'!AA53</f>
        <v>0</v>
      </c>
      <c r="AB53" s="28">
        <f>'BS (Bull-Case)'!AB53-'BS (Base-Case)'!AB53</f>
        <v>0</v>
      </c>
      <c r="AC53" s="34">
        <f>'BS (Bull-Case)'!AC53-'BS (Base-Case)'!AC53</f>
        <v>0</v>
      </c>
      <c r="AD53" s="34">
        <f>'BS (Bull-Case)'!AD53-'BS (Base-Case)'!AD53</f>
        <v>0</v>
      </c>
      <c r="AE53" s="34">
        <f>'BS (Bull-Case)'!AE53-'BS (Base-Case)'!AE53</f>
        <v>0</v>
      </c>
      <c r="AF53" s="34">
        <f>'BS (Bull-Case)'!AF53-'BS (Base-Case)'!AF53</f>
        <v>0</v>
      </c>
      <c r="AG53" s="28">
        <f>'BS (Bull-Case)'!AG53-'BS (Base-Case)'!AG53</f>
        <v>0</v>
      </c>
      <c r="AH53" s="34">
        <f>'BS (Bull-Case)'!AH53-'BS (Base-Case)'!AH53</f>
        <v>0</v>
      </c>
      <c r="AI53" s="34">
        <f>'BS (Bull-Case)'!AI53-'BS (Base-Case)'!AI53</f>
        <v>0</v>
      </c>
      <c r="AJ53" s="34">
        <f>'BS (Bull-Case)'!AJ53-'BS (Base-Case)'!AJ53</f>
        <v>0</v>
      </c>
      <c r="AK53" s="34">
        <f>'BS (Bull-Case)'!AK53-'BS (Base-Case)'!AK53</f>
        <v>0</v>
      </c>
      <c r="AL53" s="28">
        <f>'BS (Bull-Case)'!AL53-'BS (Base-Case)'!AL53</f>
        <v>0</v>
      </c>
      <c r="AM53" s="34">
        <f>'BS (Bull-Case)'!AM53-'BS (Base-Case)'!AM53</f>
        <v>0</v>
      </c>
      <c r="AN53" s="34">
        <f>'BS (Bull-Case)'!AN53-'BS (Base-Case)'!AN53</f>
        <v>0</v>
      </c>
      <c r="AO53" s="34">
        <f>'BS (Bull-Case)'!AO53-'BS (Base-Case)'!AO53</f>
        <v>0</v>
      </c>
      <c r="AP53" s="34">
        <f>'BS (Bull-Case)'!AP53-'BS (Base-Case)'!AP53</f>
        <v>0</v>
      </c>
      <c r="AQ53" s="28">
        <f>'BS (Bull-Case)'!AQ53-'BS (Base-Case)'!AQ53</f>
        <v>0</v>
      </c>
      <c r="AR53" s="34">
        <f>'BS (Bull-Case)'!AR53-'BS (Base-Case)'!AR53</f>
        <v>0</v>
      </c>
      <c r="AS53" s="34">
        <f>'BS (Bull-Case)'!AS53-'BS (Base-Case)'!AS53</f>
        <v>0</v>
      </c>
      <c r="AT53" s="34">
        <f>'BS (Bull-Case)'!AT53-'BS (Base-Case)'!AT53</f>
        <v>0</v>
      </c>
      <c r="AU53" s="34">
        <f>'BS (Bull-Case)'!AU53-'BS (Base-Case)'!AU53</f>
        <v>0</v>
      </c>
      <c r="AV53" s="28">
        <f>'BS (Bull-Case)'!AV53-'BS (Base-Case)'!AV53</f>
        <v>0</v>
      </c>
    </row>
    <row r="54" spans="2:48" s="23" customFormat="1" outlineLevel="1" x14ac:dyDescent="0.3">
      <c r="B54" s="180" t="s">
        <v>258</v>
      </c>
      <c r="C54" s="201"/>
      <c r="D54" s="30">
        <f>'BS (Bull-Case)'!D54-'BS (Base-Case)'!D54</f>
        <v>0</v>
      </c>
      <c r="E54" s="30">
        <f>'BS (Bull-Case)'!E54-'BS (Base-Case)'!E54</f>
        <v>0</v>
      </c>
      <c r="F54" s="118">
        <f>'BS (Bull-Case)'!F54-'BS (Base-Case)'!F54</f>
        <v>0</v>
      </c>
      <c r="G54" s="118">
        <f>'BS (Bull-Case)'!G54-'BS (Base-Case)'!G54</f>
        <v>0</v>
      </c>
      <c r="H54" s="128">
        <f>'BS (Bull-Case)'!H54-'BS (Base-Case)'!H54</f>
        <v>0</v>
      </c>
      <c r="I54" s="118">
        <f>'BS (Bull-Case)'!I54-'BS (Base-Case)'!I54</f>
        <v>0</v>
      </c>
      <c r="J54" s="118">
        <f>'BS (Bull-Case)'!J54-'BS (Base-Case)'!J54</f>
        <v>0</v>
      </c>
      <c r="K54" s="118">
        <f>'BS (Bull-Case)'!K54-'BS (Base-Case)'!K54</f>
        <v>0</v>
      </c>
      <c r="L54" s="118">
        <f>'BS (Bull-Case)'!L54-'BS (Base-Case)'!L54</f>
        <v>0</v>
      </c>
      <c r="M54" s="28">
        <f>'BS (Bull-Case)'!M54-'BS (Base-Case)'!M54</f>
        <v>0</v>
      </c>
      <c r="N54" s="118">
        <f>'BS (Bull-Case)'!N54-'BS (Base-Case)'!N54</f>
        <v>0</v>
      </c>
      <c r="O54" s="118">
        <f>'BS (Bull-Case)'!O54-'BS (Base-Case)'!O54</f>
        <v>0</v>
      </c>
      <c r="P54" s="118">
        <f>'BS (Bull-Case)'!P54-'BS (Base-Case)'!P54</f>
        <v>0</v>
      </c>
      <c r="Q54" s="118">
        <f>'BS (Bull-Case)'!Q54-'BS (Base-Case)'!Q54</f>
        <v>0</v>
      </c>
      <c r="R54" s="28">
        <f>'BS (Bull-Case)'!R54-'BS (Base-Case)'!R54</f>
        <v>0</v>
      </c>
      <c r="S54" s="118">
        <f>'BS (Bull-Case)'!S54-'BS (Base-Case)'!S54</f>
        <v>0</v>
      </c>
      <c r="T54" s="118">
        <f>'BS (Bull-Case)'!T54-'BS (Base-Case)'!T54</f>
        <v>0</v>
      </c>
      <c r="U54" s="118">
        <f>'BS (Bull-Case)'!U54-'BS (Base-Case)'!U54</f>
        <v>0</v>
      </c>
      <c r="V54" s="34">
        <f>'BS (Bull-Case)'!V54-'BS (Base-Case)'!V54</f>
        <v>0</v>
      </c>
      <c r="W54" s="28">
        <f>'BS (Bull-Case)'!W54-'BS (Base-Case)'!W54</f>
        <v>0</v>
      </c>
      <c r="X54" s="34">
        <f>'BS (Bull-Case)'!X54-'BS (Base-Case)'!X54</f>
        <v>0</v>
      </c>
      <c r="Y54" s="34">
        <f>'BS (Bull-Case)'!Y54-'BS (Base-Case)'!Y54</f>
        <v>0</v>
      </c>
      <c r="Z54" s="34">
        <f>'BS (Bull-Case)'!Z54-'BS (Base-Case)'!Z54</f>
        <v>0</v>
      </c>
      <c r="AA54" s="34">
        <f>'BS (Bull-Case)'!AA54-'BS (Base-Case)'!AA54</f>
        <v>0</v>
      </c>
      <c r="AB54" s="28">
        <f>'BS (Bull-Case)'!AB54-'BS (Base-Case)'!AB54</f>
        <v>0</v>
      </c>
      <c r="AC54" s="34">
        <f>'BS (Bull-Case)'!AC54-'BS (Base-Case)'!AC54</f>
        <v>0</v>
      </c>
      <c r="AD54" s="34">
        <f>'BS (Bull-Case)'!AD54-'BS (Base-Case)'!AD54</f>
        <v>0</v>
      </c>
      <c r="AE54" s="34">
        <f>'BS (Bull-Case)'!AE54-'BS (Base-Case)'!AE54</f>
        <v>0</v>
      </c>
      <c r="AF54" s="34">
        <f>'BS (Bull-Case)'!AF54-'BS (Base-Case)'!AF54</f>
        <v>0</v>
      </c>
      <c r="AG54" s="28">
        <f>'BS (Bull-Case)'!AG54-'BS (Base-Case)'!AG54</f>
        <v>0</v>
      </c>
      <c r="AH54" s="34">
        <f>'BS (Bull-Case)'!AH54-'BS (Base-Case)'!AH54</f>
        <v>0</v>
      </c>
      <c r="AI54" s="34">
        <f>'BS (Bull-Case)'!AI54-'BS (Base-Case)'!AI54</f>
        <v>0</v>
      </c>
      <c r="AJ54" s="34">
        <f>'BS (Bull-Case)'!AJ54-'BS (Base-Case)'!AJ54</f>
        <v>0</v>
      </c>
      <c r="AK54" s="34">
        <f>'BS (Bull-Case)'!AK54-'BS (Base-Case)'!AK54</f>
        <v>0</v>
      </c>
      <c r="AL54" s="28">
        <f>'BS (Bull-Case)'!AL54-'BS (Base-Case)'!AL54</f>
        <v>0</v>
      </c>
      <c r="AM54" s="34">
        <f>'BS (Bull-Case)'!AM54-'BS (Base-Case)'!AM54</f>
        <v>0</v>
      </c>
      <c r="AN54" s="34">
        <f>'BS (Bull-Case)'!AN54-'BS (Base-Case)'!AN54</f>
        <v>0</v>
      </c>
      <c r="AO54" s="34">
        <f>'BS (Bull-Case)'!AO54-'BS (Base-Case)'!AO54</f>
        <v>0</v>
      </c>
      <c r="AP54" s="34">
        <f>'BS (Bull-Case)'!AP54-'BS (Base-Case)'!AP54</f>
        <v>0</v>
      </c>
      <c r="AQ54" s="28">
        <f>'BS (Bull-Case)'!AQ54-'BS (Base-Case)'!AQ54</f>
        <v>0</v>
      </c>
      <c r="AR54" s="34">
        <f>'BS (Bull-Case)'!AR54-'BS (Base-Case)'!AR54</f>
        <v>0</v>
      </c>
      <c r="AS54" s="34">
        <f>'BS (Bull-Case)'!AS54-'BS (Base-Case)'!AS54</f>
        <v>0</v>
      </c>
      <c r="AT54" s="34">
        <f>'BS (Bull-Case)'!AT54-'BS (Base-Case)'!AT54</f>
        <v>0</v>
      </c>
      <c r="AU54" s="34">
        <f>'BS (Bull-Case)'!AU54-'BS (Base-Case)'!AU54</f>
        <v>0</v>
      </c>
      <c r="AV54" s="28">
        <f>'BS (Bull-Case)'!AV54-'BS (Base-Case)'!AV54</f>
        <v>0</v>
      </c>
    </row>
    <row r="55" spans="2:48" s="23" customFormat="1" outlineLevel="1" x14ac:dyDescent="0.3">
      <c r="B55" s="200" t="s">
        <v>259</v>
      </c>
      <c r="C55" s="201"/>
      <c r="D55" s="30">
        <f>'BS (Bull-Case)'!D55-'BS (Base-Case)'!D55</f>
        <v>0</v>
      </c>
      <c r="E55" s="30">
        <f>'BS (Bull-Case)'!E55-'BS (Base-Case)'!E55</f>
        <v>0</v>
      </c>
      <c r="F55" s="113">
        <f>'BS (Bull-Case)'!F55-'BS (Base-Case)'!F55</f>
        <v>0</v>
      </c>
      <c r="G55" s="113">
        <f>'BS (Bull-Case)'!G55-'BS (Base-Case)'!G55</f>
        <v>0</v>
      </c>
      <c r="H55" s="125">
        <f>'BS (Bull-Case)'!H55-'BS (Base-Case)'!H55</f>
        <v>0</v>
      </c>
      <c r="I55" s="281">
        <f>'BS (Bull-Case)'!I55-'BS (Base-Case)'!I55</f>
        <v>0</v>
      </c>
      <c r="J55" s="281">
        <f>'BS (Bull-Case)'!J55-'BS (Base-Case)'!J55</f>
        <v>0</v>
      </c>
      <c r="K55" s="113">
        <f>'BS (Bull-Case)'!K55-'BS (Base-Case)'!K55</f>
        <v>0</v>
      </c>
      <c r="L55" s="113">
        <f>'BS (Bull-Case)'!L55-'BS (Base-Case)'!L55</f>
        <v>0</v>
      </c>
      <c r="M55" s="282">
        <f>'BS (Bull-Case)'!M55-'BS (Base-Case)'!M55</f>
        <v>0</v>
      </c>
      <c r="N55" s="281">
        <f>'BS (Bull-Case)'!N55-'BS (Base-Case)'!N55</f>
        <v>0</v>
      </c>
      <c r="O55" s="281">
        <f>'BS (Bull-Case)'!O55-'BS (Base-Case)'!O55</f>
        <v>0</v>
      </c>
      <c r="P55" s="113">
        <f>'BS (Bull-Case)'!P55-'BS (Base-Case)'!P55</f>
        <v>0</v>
      </c>
      <c r="Q55" s="113">
        <f>'BS (Bull-Case)'!Q55-'BS (Base-Case)'!Q55</f>
        <v>0</v>
      </c>
      <c r="R55" s="282">
        <f>'BS (Bull-Case)'!R55-'BS (Base-Case)'!R55</f>
        <v>0</v>
      </c>
      <c r="S55" s="281">
        <f>'BS (Bull-Case)'!S55-'BS (Base-Case)'!S55</f>
        <v>0</v>
      </c>
      <c r="T55" s="281">
        <f>'BS (Bull-Case)'!T55-'BS (Base-Case)'!T55</f>
        <v>0</v>
      </c>
      <c r="U55" s="281">
        <f>'BS (Bull-Case)'!U55-'BS (Base-Case)'!U55</f>
        <v>0</v>
      </c>
      <c r="V55" s="35">
        <f>'BS (Bull-Case)'!V55-'BS (Base-Case)'!V55</f>
        <v>0</v>
      </c>
      <c r="W55" s="282">
        <f>'BS (Bull-Case)'!W55-'BS (Base-Case)'!W55</f>
        <v>0</v>
      </c>
      <c r="X55" s="283">
        <f>'BS (Bull-Case)'!X55-'BS (Base-Case)'!X55</f>
        <v>0</v>
      </c>
      <c r="Y55" s="283">
        <f>'BS (Bull-Case)'!Y55-'BS (Base-Case)'!Y55</f>
        <v>0</v>
      </c>
      <c r="Z55" s="35">
        <f>'BS (Bull-Case)'!Z55-'BS (Base-Case)'!Z55</f>
        <v>0</v>
      </c>
      <c r="AA55" s="284">
        <f>'BS (Bull-Case)'!AA55-'BS (Base-Case)'!AA55</f>
        <v>0</v>
      </c>
      <c r="AB55" s="28">
        <f>'BS (Bull-Case)'!AB55-'BS (Base-Case)'!AB55</f>
        <v>0</v>
      </c>
      <c r="AC55" s="283">
        <f>'BS (Bull-Case)'!AC55-'BS (Base-Case)'!AC55</f>
        <v>0</v>
      </c>
      <c r="AD55" s="283">
        <f>'BS (Bull-Case)'!AD55-'BS (Base-Case)'!AD55</f>
        <v>0</v>
      </c>
      <c r="AE55" s="35">
        <f>'BS (Bull-Case)'!AE55-'BS (Base-Case)'!AE55</f>
        <v>0</v>
      </c>
      <c r="AF55" s="284">
        <f>'BS (Bull-Case)'!AF55-'BS (Base-Case)'!AF55</f>
        <v>0</v>
      </c>
      <c r="AG55" s="28">
        <f>'BS (Bull-Case)'!AG55-'BS (Base-Case)'!AG55</f>
        <v>0</v>
      </c>
      <c r="AH55" s="283">
        <f>'BS (Bull-Case)'!AH55-'BS (Base-Case)'!AH55</f>
        <v>0</v>
      </c>
      <c r="AI55" s="283">
        <f>'BS (Bull-Case)'!AI55-'BS (Base-Case)'!AI55</f>
        <v>0</v>
      </c>
      <c r="AJ55" s="35">
        <f>'BS (Bull-Case)'!AJ55-'BS (Base-Case)'!AJ55</f>
        <v>0</v>
      </c>
      <c r="AK55" s="284">
        <f>'BS (Bull-Case)'!AK55-'BS (Base-Case)'!AK55</f>
        <v>0</v>
      </c>
      <c r="AL55" s="28">
        <f>'BS (Bull-Case)'!AL55-'BS (Base-Case)'!AL55</f>
        <v>0</v>
      </c>
      <c r="AM55" s="283">
        <f>'BS (Bull-Case)'!AM55-'BS (Base-Case)'!AM55</f>
        <v>0</v>
      </c>
      <c r="AN55" s="283">
        <f>'BS (Bull-Case)'!AN55-'BS (Base-Case)'!AN55</f>
        <v>0</v>
      </c>
      <c r="AO55" s="35">
        <f>'BS (Bull-Case)'!AO55-'BS (Base-Case)'!AO55</f>
        <v>0</v>
      </c>
      <c r="AP55" s="284">
        <f>'BS (Bull-Case)'!AP55-'BS (Base-Case)'!AP55</f>
        <v>0</v>
      </c>
      <c r="AQ55" s="28">
        <f>'BS (Bull-Case)'!AQ55-'BS (Base-Case)'!AQ55</f>
        <v>0</v>
      </c>
      <c r="AR55" s="283">
        <f>'BS (Bull-Case)'!AR55-'BS (Base-Case)'!AR55</f>
        <v>0</v>
      </c>
      <c r="AS55" s="283">
        <f>'BS (Bull-Case)'!AS55-'BS (Base-Case)'!AS55</f>
        <v>0</v>
      </c>
      <c r="AT55" s="35">
        <f>'BS (Bull-Case)'!AT55-'BS (Base-Case)'!AT55</f>
        <v>0</v>
      </c>
      <c r="AU55" s="284">
        <f>'BS (Bull-Case)'!AU55-'BS (Base-Case)'!AU55</f>
        <v>0</v>
      </c>
      <c r="AV55" s="28">
        <f>'BS (Bull-Case)'!AV55-'BS (Base-Case)'!AV55</f>
        <v>0</v>
      </c>
    </row>
    <row r="56" spans="2:48" outlineLevel="1" x14ac:dyDescent="0.3">
      <c r="B56" s="200" t="s">
        <v>260</v>
      </c>
      <c r="C56" s="201"/>
      <c r="D56" s="285">
        <f>'BS (Bull-Case)'!D56-'BS (Base-Case)'!D56</f>
        <v>0</v>
      </c>
      <c r="E56" s="285">
        <f>'BS (Bull-Case)'!E56-'BS (Base-Case)'!E56</f>
        <v>0</v>
      </c>
      <c r="F56" s="286">
        <f>'BS (Bull-Case)'!F56-'BS (Base-Case)'!F56</f>
        <v>0</v>
      </c>
      <c r="G56" s="286">
        <f>'BS (Bull-Case)'!G56-'BS (Base-Case)'!G56</f>
        <v>0</v>
      </c>
      <c r="H56" s="125">
        <f>'BS (Bull-Case)'!H56-'BS (Base-Case)'!H56</f>
        <v>0</v>
      </c>
      <c r="I56" s="287">
        <f>'BS (Bull-Case)'!I56-'BS (Base-Case)'!I56</f>
        <v>0</v>
      </c>
      <c r="J56" s="287">
        <f>'BS (Bull-Case)'!J56-'BS (Base-Case)'!J56</f>
        <v>0</v>
      </c>
      <c r="K56" s="286">
        <f>'BS (Bull-Case)'!K56-'BS (Base-Case)'!K56</f>
        <v>0</v>
      </c>
      <c r="L56" s="286">
        <f>'BS (Bull-Case)'!L56-'BS (Base-Case)'!L56</f>
        <v>0</v>
      </c>
      <c r="M56" s="282">
        <f>'BS (Bull-Case)'!M56-'BS (Base-Case)'!M56</f>
        <v>0</v>
      </c>
      <c r="N56" s="287">
        <f>'BS (Bull-Case)'!N56-'BS (Base-Case)'!N56</f>
        <v>0</v>
      </c>
      <c r="O56" s="287">
        <f>'BS (Bull-Case)'!O56-'BS (Base-Case)'!O56</f>
        <v>0</v>
      </c>
      <c r="P56" s="286">
        <f>'BS (Bull-Case)'!P56-'BS (Base-Case)'!P56</f>
        <v>0</v>
      </c>
      <c r="Q56" s="286">
        <f>'BS (Bull-Case)'!Q56-'BS (Base-Case)'!Q56</f>
        <v>0</v>
      </c>
      <c r="R56" s="282">
        <f>'BS (Bull-Case)'!R56-'BS (Base-Case)'!R56</f>
        <v>0</v>
      </c>
      <c r="S56" s="287">
        <f>'BS (Bull-Case)'!S56-'BS (Base-Case)'!S56</f>
        <v>0</v>
      </c>
      <c r="T56" s="287">
        <f>'BS (Bull-Case)'!T56-'BS (Base-Case)'!T56</f>
        <v>0</v>
      </c>
      <c r="U56" s="287">
        <f>'BS (Bull-Case)'!U56-'BS (Base-Case)'!U56</f>
        <v>0</v>
      </c>
      <c r="V56" s="288">
        <f>'BS (Bull-Case)'!V56-'BS (Base-Case)'!V56</f>
        <v>0</v>
      </c>
      <c r="W56" s="282">
        <f>'BS (Bull-Case)'!W56-'BS (Base-Case)'!W56</f>
        <v>0</v>
      </c>
      <c r="X56" s="289">
        <f>'BS (Bull-Case)'!X56-'BS (Base-Case)'!X56</f>
        <v>0</v>
      </c>
      <c r="Y56" s="289">
        <f>'BS (Bull-Case)'!Y56-'BS (Base-Case)'!Y56</f>
        <v>0</v>
      </c>
      <c r="Z56" s="288">
        <f>'BS (Bull-Case)'!Z56-'BS (Base-Case)'!Z56</f>
        <v>0</v>
      </c>
      <c r="AA56" s="288">
        <f>'BS (Bull-Case)'!AA56-'BS (Base-Case)'!AA56</f>
        <v>0</v>
      </c>
      <c r="AB56" s="290">
        <f>'BS (Bull-Case)'!AB56-'BS (Base-Case)'!AB56</f>
        <v>0</v>
      </c>
      <c r="AC56" s="289">
        <f>'BS (Bull-Case)'!AC56-'BS (Base-Case)'!AC56</f>
        <v>0</v>
      </c>
      <c r="AD56" s="289">
        <f>'BS (Bull-Case)'!AD56-'BS (Base-Case)'!AD56</f>
        <v>0</v>
      </c>
      <c r="AE56" s="288">
        <f>'BS (Bull-Case)'!AE56-'BS (Base-Case)'!AE56</f>
        <v>0</v>
      </c>
      <c r="AF56" s="288">
        <f>'BS (Bull-Case)'!AF56-'BS (Base-Case)'!AF56</f>
        <v>0</v>
      </c>
      <c r="AG56" s="290">
        <f>'BS (Bull-Case)'!AG56-'BS (Base-Case)'!AG56</f>
        <v>0</v>
      </c>
      <c r="AH56" s="289">
        <f>'BS (Bull-Case)'!AH56-'BS (Base-Case)'!AH56</f>
        <v>0</v>
      </c>
      <c r="AI56" s="289">
        <f>'BS (Bull-Case)'!AI56-'BS (Base-Case)'!AI56</f>
        <v>0</v>
      </c>
      <c r="AJ56" s="288">
        <f>'BS (Bull-Case)'!AJ56-'BS (Base-Case)'!AJ56</f>
        <v>0</v>
      </c>
      <c r="AK56" s="288">
        <f>'BS (Bull-Case)'!AK56-'BS (Base-Case)'!AK56</f>
        <v>0</v>
      </c>
      <c r="AL56" s="290">
        <f>'BS (Bull-Case)'!AL56-'BS (Base-Case)'!AL56</f>
        <v>0</v>
      </c>
      <c r="AM56" s="289">
        <f>'BS (Bull-Case)'!AM56-'BS (Base-Case)'!AM56</f>
        <v>0</v>
      </c>
      <c r="AN56" s="289">
        <f>'BS (Bull-Case)'!AN56-'BS (Base-Case)'!AN56</f>
        <v>0</v>
      </c>
      <c r="AO56" s="288">
        <f>'BS (Bull-Case)'!AO56-'BS (Base-Case)'!AO56</f>
        <v>0</v>
      </c>
      <c r="AP56" s="288">
        <f>'BS (Bull-Case)'!AP56-'BS (Base-Case)'!AP56</f>
        <v>0</v>
      </c>
      <c r="AQ56" s="290">
        <f>'BS (Bull-Case)'!AQ56-'BS (Base-Case)'!AQ56</f>
        <v>0</v>
      </c>
      <c r="AR56" s="289">
        <f>'BS (Bull-Case)'!AR56-'BS (Base-Case)'!AR56</f>
        <v>0</v>
      </c>
      <c r="AS56" s="289">
        <f>'BS (Bull-Case)'!AS56-'BS (Base-Case)'!AS56</f>
        <v>0</v>
      </c>
      <c r="AT56" s="288">
        <f>'BS (Bull-Case)'!AT56-'BS (Base-Case)'!AT56</f>
        <v>0</v>
      </c>
      <c r="AU56" s="288">
        <f>'BS (Bull-Case)'!AU56-'BS (Base-Case)'!AU56</f>
        <v>0</v>
      </c>
      <c r="AV56" s="290">
        <f>'BS (Bull-Case)'!AV56-'BS (Base-Case)'!AV56</f>
        <v>0</v>
      </c>
    </row>
    <row r="57" spans="2:48" outlineLevel="1" x14ac:dyDescent="0.3">
      <c r="B57" s="200"/>
      <c r="C57" s="201"/>
      <c r="D57" s="285">
        <f>'BS (Bull-Case)'!D57-'BS (Base-Case)'!D57</f>
        <v>0</v>
      </c>
      <c r="E57" s="285">
        <f>'BS (Bull-Case)'!E57-'BS (Base-Case)'!E57</f>
        <v>0</v>
      </c>
      <c r="F57" s="286">
        <f>'BS (Bull-Case)'!F57-'BS (Base-Case)'!F57</f>
        <v>0</v>
      </c>
      <c r="G57" s="286">
        <f>'BS (Bull-Case)'!G57-'BS (Base-Case)'!G57</f>
        <v>0</v>
      </c>
      <c r="H57" s="125">
        <f>'BS (Bull-Case)'!H57-'BS (Base-Case)'!H57</f>
        <v>0</v>
      </c>
      <c r="I57" s="287">
        <f>'BS (Bull-Case)'!I57-'BS (Base-Case)'!I57</f>
        <v>0</v>
      </c>
      <c r="J57" s="287">
        <f>'BS (Bull-Case)'!J57-'BS (Base-Case)'!J57</f>
        <v>0</v>
      </c>
      <c r="K57" s="286">
        <f>'BS (Bull-Case)'!K57-'BS (Base-Case)'!K57</f>
        <v>0</v>
      </c>
      <c r="L57" s="286">
        <f>'BS (Bull-Case)'!L57-'BS (Base-Case)'!L57</f>
        <v>0</v>
      </c>
      <c r="M57" s="282">
        <f>'BS (Bull-Case)'!M57-'BS (Base-Case)'!M57</f>
        <v>0</v>
      </c>
      <c r="N57" s="287">
        <f>'BS (Bull-Case)'!N57-'BS (Base-Case)'!N57</f>
        <v>0</v>
      </c>
      <c r="O57" s="287">
        <f>'BS (Bull-Case)'!O57-'BS (Base-Case)'!O57</f>
        <v>0</v>
      </c>
      <c r="P57" s="286">
        <f>'BS (Bull-Case)'!P57-'BS (Base-Case)'!P57</f>
        <v>0</v>
      </c>
      <c r="Q57" s="286">
        <f>'BS (Bull-Case)'!Q57-'BS (Base-Case)'!Q57</f>
        <v>0</v>
      </c>
      <c r="R57" s="282">
        <f>'BS (Bull-Case)'!R57-'BS (Base-Case)'!R57</f>
        <v>0</v>
      </c>
      <c r="S57" s="287">
        <f>'BS (Bull-Case)'!S57-'BS (Base-Case)'!S57</f>
        <v>0</v>
      </c>
      <c r="T57" s="287">
        <f>'BS (Bull-Case)'!T57-'BS (Base-Case)'!T57</f>
        <v>0</v>
      </c>
      <c r="U57" s="287">
        <f>'BS (Bull-Case)'!U57-'BS (Base-Case)'!U57</f>
        <v>0</v>
      </c>
      <c r="V57" s="288">
        <f>'BS (Bull-Case)'!V57-'BS (Base-Case)'!V57</f>
        <v>0</v>
      </c>
      <c r="W57" s="282">
        <f>'BS (Bull-Case)'!W57-'BS (Base-Case)'!W57</f>
        <v>0</v>
      </c>
      <c r="X57" s="289">
        <f>'BS (Bull-Case)'!X57-'BS (Base-Case)'!X57</f>
        <v>0</v>
      </c>
      <c r="Y57" s="289">
        <f>'BS (Bull-Case)'!Y57-'BS (Base-Case)'!Y57</f>
        <v>0</v>
      </c>
      <c r="Z57" s="288">
        <f>'BS (Bull-Case)'!Z57-'BS (Base-Case)'!Z57</f>
        <v>0</v>
      </c>
      <c r="AA57" s="288">
        <f>'BS (Bull-Case)'!AA57-'BS (Base-Case)'!AA57</f>
        <v>0</v>
      </c>
      <c r="AB57" s="290">
        <f>'BS (Bull-Case)'!AB57-'BS (Base-Case)'!AB57</f>
        <v>0</v>
      </c>
      <c r="AC57" s="289">
        <f>'BS (Bull-Case)'!AC57-'BS (Base-Case)'!AC57</f>
        <v>0</v>
      </c>
      <c r="AD57" s="289">
        <f>'BS (Bull-Case)'!AD57-'BS (Base-Case)'!AD57</f>
        <v>0</v>
      </c>
      <c r="AE57" s="288">
        <f>'BS (Bull-Case)'!AE57-'BS (Base-Case)'!AE57</f>
        <v>0</v>
      </c>
      <c r="AF57" s="288">
        <f>'BS (Bull-Case)'!AF57-'BS (Base-Case)'!AF57</f>
        <v>0</v>
      </c>
      <c r="AG57" s="290">
        <f>'BS (Bull-Case)'!AG57-'BS (Base-Case)'!AG57</f>
        <v>0</v>
      </c>
      <c r="AH57" s="289">
        <f>'BS (Bull-Case)'!AH57-'BS (Base-Case)'!AH57</f>
        <v>0</v>
      </c>
      <c r="AI57" s="289">
        <f>'BS (Bull-Case)'!AI57-'BS (Base-Case)'!AI57</f>
        <v>0</v>
      </c>
      <c r="AJ57" s="288">
        <f>'BS (Bull-Case)'!AJ57-'BS (Base-Case)'!AJ57</f>
        <v>0</v>
      </c>
      <c r="AK57" s="288">
        <f>'BS (Bull-Case)'!AK57-'BS (Base-Case)'!AK57</f>
        <v>0</v>
      </c>
      <c r="AL57" s="290">
        <f>'BS (Bull-Case)'!AL57-'BS (Base-Case)'!AL57</f>
        <v>0</v>
      </c>
      <c r="AM57" s="289">
        <f>'BS (Bull-Case)'!AM57-'BS (Base-Case)'!AM57</f>
        <v>0</v>
      </c>
      <c r="AN57" s="289">
        <f>'BS (Bull-Case)'!AN57-'BS (Base-Case)'!AN57</f>
        <v>0</v>
      </c>
      <c r="AO57" s="288">
        <f>'BS (Bull-Case)'!AO57-'BS (Base-Case)'!AO57</f>
        <v>0</v>
      </c>
      <c r="AP57" s="288">
        <f>'BS (Bull-Case)'!AP57-'BS (Base-Case)'!AP57</f>
        <v>0</v>
      </c>
      <c r="AQ57" s="290">
        <f>'BS (Bull-Case)'!AQ57-'BS (Base-Case)'!AQ57</f>
        <v>0</v>
      </c>
      <c r="AR57" s="289">
        <f>'BS (Bull-Case)'!AR57-'BS (Base-Case)'!AR57</f>
        <v>0</v>
      </c>
      <c r="AS57" s="289">
        <f>'BS (Bull-Case)'!AS57-'BS (Base-Case)'!AS57</f>
        <v>0</v>
      </c>
      <c r="AT57" s="288">
        <f>'BS (Bull-Case)'!AT57-'BS (Base-Case)'!AT57</f>
        <v>0</v>
      </c>
      <c r="AU57" s="288">
        <f>'BS (Bull-Case)'!AU57-'BS (Base-Case)'!AU57</f>
        <v>0</v>
      </c>
      <c r="AV57" s="290">
        <f>'BS (Bull-Case)'!AV57-'BS (Base-Case)'!AV57</f>
        <v>0</v>
      </c>
    </row>
    <row r="58" spans="2:48" s="296" customFormat="1" outlineLevel="1" x14ac:dyDescent="0.3">
      <c r="B58" s="291" t="s">
        <v>261</v>
      </c>
      <c r="C58" s="249"/>
      <c r="D58" s="292">
        <f>'BS (Bull-Case)'!D58-'BS (Base-Case)'!D58</f>
        <v>0</v>
      </c>
      <c r="E58" s="292">
        <f>'BS (Bull-Case)'!E58-'BS (Base-Case)'!E58</f>
        <v>0</v>
      </c>
      <c r="F58" s="293">
        <f>'BS (Bull-Case)'!F58-'BS (Base-Case)'!F58</f>
        <v>0</v>
      </c>
      <c r="G58" s="293">
        <f>'BS (Bull-Case)'!G58-'BS (Base-Case)'!G58</f>
        <v>0</v>
      </c>
      <c r="H58" s="294">
        <f>'BS (Bull-Case)'!H58-'BS (Base-Case)'!H58</f>
        <v>0</v>
      </c>
      <c r="I58" s="292">
        <f>'BS (Bull-Case)'!I58-'BS (Base-Case)'!I58</f>
        <v>0</v>
      </c>
      <c r="J58" s="292">
        <f>'BS (Bull-Case)'!J58-'BS (Base-Case)'!J58</f>
        <v>0</v>
      </c>
      <c r="K58" s="293">
        <f>'BS (Bull-Case)'!K58-'BS (Base-Case)'!K58</f>
        <v>0</v>
      </c>
      <c r="L58" s="293">
        <f>'BS (Bull-Case)'!L58-'BS (Base-Case)'!L58</f>
        <v>0</v>
      </c>
      <c r="M58" s="294">
        <f>'BS (Bull-Case)'!M58-'BS (Base-Case)'!M58</f>
        <v>0</v>
      </c>
      <c r="N58" s="292">
        <f>'BS (Bull-Case)'!N58-'BS (Base-Case)'!N58</f>
        <v>0</v>
      </c>
      <c r="O58" s="292">
        <f>'BS (Bull-Case)'!O58-'BS (Base-Case)'!O58</f>
        <v>0</v>
      </c>
      <c r="P58" s="293">
        <f>'BS (Bull-Case)'!P58-'BS (Base-Case)'!P58</f>
        <v>0</v>
      </c>
      <c r="Q58" s="293">
        <f>'BS (Bull-Case)'!Q58-'BS (Base-Case)'!Q58</f>
        <v>0</v>
      </c>
      <c r="R58" s="294">
        <f>'BS (Bull-Case)'!R58-'BS (Base-Case)'!R58</f>
        <v>0</v>
      </c>
      <c r="S58" s="292">
        <f>'BS (Bull-Case)'!S58-'BS (Base-Case)'!S58</f>
        <v>0</v>
      </c>
      <c r="T58" s="292">
        <f>'BS (Bull-Case)'!T58-'BS (Base-Case)'!T58</f>
        <v>0</v>
      </c>
      <c r="U58" s="292">
        <f>'BS (Bull-Case)'!U58-'BS (Base-Case)'!U58</f>
        <v>0</v>
      </c>
      <c r="V58" s="293">
        <f>'BS (Bull-Case)'!V58-'BS (Base-Case)'!V58</f>
        <v>0</v>
      </c>
      <c r="W58" s="294">
        <f>'BS (Bull-Case)'!W58-'BS (Base-Case)'!W58</f>
        <v>0</v>
      </c>
      <c r="X58" s="292">
        <f>'BS (Bull-Case)'!X58-'BS (Base-Case)'!X58</f>
        <v>0</v>
      </c>
      <c r="Y58" s="292">
        <f>'BS (Bull-Case)'!Y58-'BS (Base-Case)'!Y58</f>
        <v>0</v>
      </c>
      <c r="Z58" s="293">
        <f>'BS (Bull-Case)'!Z58-'BS (Base-Case)'!Z58</f>
        <v>0</v>
      </c>
      <c r="AA58" s="293">
        <f>'BS (Bull-Case)'!AA58-'BS (Base-Case)'!AA58</f>
        <v>0</v>
      </c>
      <c r="AB58" s="295">
        <f>'BS (Bull-Case)'!AB58-'BS (Base-Case)'!AB58</f>
        <v>0</v>
      </c>
      <c r="AC58" s="292">
        <f>'BS (Bull-Case)'!AC58-'BS (Base-Case)'!AC58</f>
        <v>0</v>
      </c>
      <c r="AD58" s="292">
        <f>'BS (Bull-Case)'!AD58-'BS (Base-Case)'!AD58</f>
        <v>0</v>
      </c>
      <c r="AE58" s="293">
        <f>'BS (Bull-Case)'!AE58-'BS (Base-Case)'!AE58</f>
        <v>0</v>
      </c>
      <c r="AF58" s="293">
        <f>'BS (Bull-Case)'!AF58-'BS (Base-Case)'!AF58</f>
        <v>0</v>
      </c>
      <c r="AG58" s="295">
        <f>'BS (Bull-Case)'!AG58-'BS (Base-Case)'!AG58</f>
        <v>0</v>
      </c>
      <c r="AH58" s="292">
        <f>'BS (Bull-Case)'!AH58-'BS (Base-Case)'!AH58</f>
        <v>0</v>
      </c>
      <c r="AI58" s="292">
        <f>'BS (Bull-Case)'!AI58-'BS (Base-Case)'!AI58</f>
        <v>0</v>
      </c>
      <c r="AJ58" s="293">
        <f>'BS (Bull-Case)'!AJ58-'BS (Base-Case)'!AJ58</f>
        <v>0</v>
      </c>
      <c r="AK58" s="293">
        <f>'BS (Bull-Case)'!AK58-'BS (Base-Case)'!AK58</f>
        <v>0</v>
      </c>
      <c r="AL58" s="295">
        <f>'BS (Bull-Case)'!AL58-'BS (Base-Case)'!AL58</f>
        <v>0</v>
      </c>
      <c r="AM58" s="292">
        <f>'BS (Bull-Case)'!AM58-'BS (Base-Case)'!AM58</f>
        <v>0</v>
      </c>
      <c r="AN58" s="292">
        <f>'BS (Bull-Case)'!AN58-'BS (Base-Case)'!AN58</f>
        <v>0</v>
      </c>
      <c r="AO58" s="293">
        <f>'BS (Bull-Case)'!AO58-'BS (Base-Case)'!AO58</f>
        <v>0</v>
      </c>
      <c r="AP58" s="293">
        <f>'BS (Bull-Case)'!AP58-'BS (Base-Case)'!AP58</f>
        <v>0</v>
      </c>
      <c r="AQ58" s="295">
        <f>'BS (Bull-Case)'!AQ58-'BS (Base-Case)'!AQ58</f>
        <v>0</v>
      </c>
      <c r="AR58" s="292">
        <f>'BS (Bull-Case)'!AR58-'BS (Base-Case)'!AR58</f>
        <v>0</v>
      </c>
      <c r="AS58" s="292">
        <f>'BS (Bull-Case)'!AS58-'BS (Base-Case)'!AS58</f>
        <v>0</v>
      </c>
      <c r="AT58" s="293">
        <f>'BS (Bull-Case)'!AT58-'BS (Base-Case)'!AT58</f>
        <v>0</v>
      </c>
      <c r="AU58" s="293">
        <f>'BS (Bull-Case)'!AU58-'BS (Base-Case)'!AU58</f>
        <v>0</v>
      </c>
      <c r="AV58" s="295">
        <f>'BS (Bull-Case)'!AV58-'BS (Base-Case)'!AV58</f>
        <v>0</v>
      </c>
    </row>
    <row r="59" spans="2:48" s="302" customFormat="1" outlineLevel="1" x14ac:dyDescent="0.3">
      <c r="B59" s="200" t="s">
        <v>262</v>
      </c>
      <c r="C59" s="297"/>
      <c r="D59" s="298">
        <f>'BS (Bull-Case)'!D59-'BS (Base-Case)'!D59</f>
        <v>0</v>
      </c>
      <c r="E59" s="298">
        <f>'BS (Bull-Case)'!E59-'BS (Base-Case)'!E59</f>
        <v>0</v>
      </c>
      <c r="F59" s="146">
        <f>'BS (Bull-Case)'!F59-'BS (Base-Case)'!F59</f>
        <v>0</v>
      </c>
      <c r="G59" s="146">
        <f>'BS (Bull-Case)'!G59-'BS (Base-Case)'!G59</f>
        <v>0</v>
      </c>
      <c r="H59" s="122">
        <f>'BS (Bull-Case)'!H59-'BS (Base-Case)'!H59</f>
        <v>0</v>
      </c>
      <c r="I59" s="299">
        <f>'BS (Bull-Case)'!I59-'BS (Base-Case)'!I59</f>
        <v>0</v>
      </c>
      <c r="J59" s="299">
        <f>'BS (Bull-Case)'!J59-'BS (Base-Case)'!J59</f>
        <v>0</v>
      </c>
      <c r="K59" s="146">
        <f>'BS (Bull-Case)'!K59-'BS (Base-Case)'!K59</f>
        <v>0</v>
      </c>
      <c r="L59" s="146">
        <f>'BS (Bull-Case)'!L59-'BS (Base-Case)'!L59</f>
        <v>0</v>
      </c>
      <c r="M59" s="26">
        <f>'BS (Bull-Case)'!M59-'BS (Base-Case)'!M59</f>
        <v>0</v>
      </c>
      <c r="N59" s="299">
        <f>'BS (Bull-Case)'!N59-'BS (Base-Case)'!N59</f>
        <v>0</v>
      </c>
      <c r="O59" s="299">
        <f>'BS (Bull-Case)'!O59-'BS (Base-Case)'!O59</f>
        <v>0</v>
      </c>
      <c r="P59" s="146">
        <f>'BS (Bull-Case)'!P59-'BS (Base-Case)'!P59</f>
        <v>0</v>
      </c>
      <c r="Q59" s="146">
        <f>'BS (Bull-Case)'!Q59-'BS (Base-Case)'!Q59</f>
        <v>0</v>
      </c>
      <c r="R59" s="26">
        <f>'BS (Bull-Case)'!R59-'BS (Base-Case)'!R59</f>
        <v>0</v>
      </c>
      <c r="S59" s="299">
        <f>'BS (Bull-Case)'!S59-'BS (Base-Case)'!S59</f>
        <v>0</v>
      </c>
      <c r="T59" s="299">
        <f>'BS (Bull-Case)'!T59-'BS (Base-Case)'!T59</f>
        <v>0</v>
      </c>
      <c r="U59" s="299">
        <f>'BS (Bull-Case)'!U59-'BS (Base-Case)'!U59</f>
        <v>0</v>
      </c>
      <c r="V59" s="300">
        <f>'BS (Bull-Case)'!V59-'BS (Base-Case)'!V59</f>
        <v>0</v>
      </c>
      <c r="W59" s="26">
        <f>'BS (Bull-Case)'!W59-'BS (Base-Case)'!W59</f>
        <v>0</v>
      </c>
      <c r="X59" s="301">
        <f>'BS (Bull-Case)'!X59-'BS (Base-Case)'!X59</f>
        <v>0</v>
      </c>
      <c r="Y59" s="301">
        <f>'BS (Bull-Case)'!Y59-'BS (Base-Case)'!Y59</f>
        <v>0</v>
      </c>
      <c r="Z59" s="300">
        <f>'BS (Bull-Case)'!Z59-'BS (Base-Case)'!Z59</f>
        <v>0</v>
      </c>
      <c r="AA59" s="300">
        <f>'BS (Bull-Case)'!AA59-'BS (Base-Case)'!AA59</f>
        <v>0</v>
      </c>
      <c r="AB59" s="6">
        <f>'BS (Bull-Case)'!AB59-'BS (Base-Case)'!AB59</f>
        <v>0</v>
      </c>
      <c r="AC59" s="301">
        <f>'BS (Bull-Case)'!AC59-'BS (Base-Case)'!AC59</f>
        <v>0</v>
      </c>
      <c r="AD59" s="301">
        <f>'BS (Bull-Case)'!AD59-'BS (Base-Case)'!AD59</f>
        <v>0</v>
      </c>
      <c r="AE59" s="300">
        <f>'BS (Bull-Case)'!AE59-'BS (Base-Case)'!AE59</f>
        <v>0</v>
      </c>
      <c r="AF59" s="300">
        <f>'BS (Bull-Case)'!AF59-'BS (Base-Case)'!AF59</f>
        <v>0</v>
      </c>
      <c r="AG59" s="6">
        <f>'BS (Bull-Case)'!AG59-'BS (Base-Case)'!AG59</f>
        <v>0</v>
      </c>
      <c r="AH59" s="301">
        <f>'BS (Bull-Case)'!AH59-'BS (Base-Case)'!AH59</f>
        <v>0</v>
      </c>
      <c r="AI59" s="301">
        <f>'BS (Bull-Case)'!AI59-'BS (Base-Case)'!AI59</f>
        <v>0</v>
      </c>
      <c r="AJ59" s="300">
        <f>'BS (Bull-Case)'!AJ59-'BS (Base-Case)'!AJ59</f>
        <v>0</v>
      </c>
      <c r="AK59" s="300">
        <f>'BS (Bull-Case)'!AK59-'BS (Base-Case)'!AK59</f>
        <v>0</v>
      </c>
      <c r="AL59" s="6">
        <f>'BS (Bull-Case)'!AL59-'BS (Base-Case)'!AL59</f>
        <v>0</v>
      </c>
      <c r="AM59" s="301">
        <f>'BS (Bull-Case)'!AM59-'BS (Base-Case)'!AM59</f>
        <v>0</v>
      </c>
      <c r="AN59" s="301">
        <f>'BS (Bull-Case)'!AN59-'BS (Base-Case)'!AN59</f>
        <v>0</v>
      </c>
      <c r="AO59" s="300">
        <f>'BS (Bull-Case)'!AO59-'BS (Base-Case)'!AO59</f>
        <v>0</v>
      </c>
      <c r="AP59" s="300">
        <f>'BS (Bull-Case)'!AP59-'BS (Base-Case)'!AP59</f>
        <v>0</v>
      </c>
      <c r="AQ59" s="6">
        <f>'BS (Bull-Case)'!AQ59-'BS (Base-Case)'!AQ59</f>
        <v>0</v>
      </c>
      <c r="AR59" s="301">
        <f>'BS (Bull-Case)'!AR59-'BS (Base-Case)'!AR59</f>
        <v>0</v>
      </c>
      <c r="AS59" s="301">
        <f>'BS (Bull-Case)'!AS59-'BS (Base-Case)'!AS59</f>
        <v>0</v>
      </c>
      <c r="AT59" s="300">
        <f>'BS (Bull-Case)'!AT59-'BS (Base-Case)'!AT59</f>
        <v>0</v>
      </c>
      <c r="AU59" s="300">
        <f>'BS (Bull-Case)'!AU59-'BS (Base-Case)'!AU59</f>
        <v>0</v>
      </c>
      <c r="AV59" s="6">
        <f>'BS (Bull-Case)'!AV59-'BS (Base-Case)'!AV59</f>
        <v>0</v>
      </c>
    </row>
    <row r="60" spans="2:48" s="302" customFormat="1" outlineLevel="1" x14ac:dyDescent="0.3">
      <c r="B60" s="200" t="s">
        <v>263</v>
      </c>
      <c r="C60" s="297"/>
      <c r="D60" s="298">
        <f>'BS (Bull-Case)'!D60-'BS (Base-Case)'!D60</f>
        <v>0</v>
      </c>
      <c r="E60" s="298">
        <f>'BS (Bull-Case)'!E60-'BS (Base-Case)'!E60</f>
        <v>0</v>
      </c>
      <c r="F60" s="146">
        <f>'BS (Bull-Case)'!F60-'BS (Base-Case)'!F60</f>
        <v>0</v>
      </c>
      <c r="G60" s="146">
        <f>'BS (Bull-Case)'!G60-'BS (Base-Case)'!G60</f>
        <v>0</v>
      </c>
      <c r="H60" s="122">
        <f>'BS (Bull-Case)'!H60-'BS (Base-Case)'!H60</f>
        <v>0</v>
      </c>
      <c r="I60" s="299">
        <f>'BS (Bull-Case)'!I60-'BS (Base-Case)'!I60</f>
        <v>0</v>
      </c>
      <c r="J60" s="299">
        <f>'BS (Bull-Case)'!J60-'BS (Base-Case)'!J60</f>
        <v>0</v>
      </c>
      <c r="K60" s="146">
        <f>'BS (Bull-Case)'!K60-'BS (Base-Case)'!K60</f>
        <v>0</v>
      </c>
      <c r="L60" s="146">
        <f>'BS (Bull-Case)'!L60-'BS (Base-Case)'!L60</f>
        <v>0</v>
      </c>
      <c r="M60" s="26">
        <f>'BS (Bull-Case)'!M60-'BS (Base-Case)'!M60</f>
        <v>0</v>
      </c>
      <c r="N60" s="299">
        <f>'BS (Bull-Case)'!N60-'BS (Base-Case)'!N60</f>
        <v>0</v>
      </c>
      <c r="O60" s="299">
        <f>'BS (Bull-Case)'!O60-'BS (Base-Case)'!O60</f>
        <v>0</v>
      </c>
      <c r="P60" s="146">
        <f>'BS (Bull-Case)'!P60-'BS (Base-Case)'!P60</f>
        <v>0</v>
      </c>
      <c r="Q60" s="146">
        <f>'BS (Bull-Case)'!Q60-'BS (Base-Case)'!Q60</f>
        <v>0</v>
      </c>
      <c r="R60" s="26">
        <f>'BS (Bull-Case)'!R60-'BS (Base-Case)'!R60</f>
        <v>0</v>
      </c>
      <c r="S60" s="299">
        <f>'BS (Bull-Case)'!S60-'BS (Base-Case)'!S60</f>
        <v>0</v>
      </c>
      <c r="T60" s="299">
        <f>'BS (Bull-Case)'!T60-'BS (Base-Case)'!T60</f>
        <v>0</v>
      </c>
      <c r="U60" s="299">
        <f>'BS (Bull-Case)'!U60-'BS (Base-Case)'!U60</f>
        <v>0</v>
      </c>
      <c r="V60" s="300">
        <f>'BS (Bull-Case)'!V60-'BS (Base-Case)'!V60</f>
        <v>0</v>
      </c>
      <c r="W60" s="26">
        <f>'BS (Bull-Case)'!W60-'BS (Base-Case)'!W60</f>
        <v>0</v>
      </c>
      <c r="X60" s="300">
        <f>'BS (Bull-Case)'!X60-'BS (Base-Case)'!X60</f>
        <v>0</v>
      </c>
      <c r="Y60" s="300">
        <f>'BS (Bull-Case)'!Y60-'BS (Base-Case)'!Y60</f>
        <v>0</v>
      </c>
      <c r="Z60" s="300">
        <f>'BS (Bull-Case)'!Z60-'BS (Base-Case)'!Z60</f>
        <v>0</v>
      </c>
      <c r="AA60" s="300">
        <f>'BS (Bull-Case)'!AA60-'BS (Base-Case)'!AA60</f>
        <v>0</v>
      </c>
      <c r="AB60" s="6">
        <f>'BS (Bull-Case)'!AB60-'BS (Base-Case)'!AB60</f>
        <v>0</v>
      </c>
      <c r="AC60" s="300">
        <f>'BS (Bull-Case)'!AC60-'BS (Base-Case)'!AC60</f>
        <v>0</v>
      </c>
      <c r="AD60" s="300">
        <f>'BS (Bull-Case)'!AD60-'BS (Base-Case)'!AD60</f>
        <v>0</v>
      </c>
      <c r="AE60" s="300">
        <f>'BS (Bull-Case)'!AE60-'BS (Base-Case)'!AE60</f>
        <v>0</v>
      </c>
      <c r="AF60" s="300">
        <f>'BS (Bull-Case)'!AF60-'BS (Base-Case)'!AF60</f>
        <v>0</v>
      </c>
      <c r="AG60" s="6">
        <f>'BS (Bull-Case)'!AG60-'BS (Base-Case)'!AG60</f>
        <v>0</v>
      </c>
      <c r="AH60" s="300">
        <f>'BS (Bull-Case)'!AH60-'BS (Base-Case)'!AH60</f>
        <v>0</v>
      </c>
      <c r="AI60" s="300">
        <f>'BS (Bull-Case)'!AI60-'BS (Base-Case)'!AI60</f>
        <v>0</v>
      </c>
      <c r="AJ60" s="300">
        <f>'BS (Bull-Case)'!AJ60-'BS (Base-Case)'!AJ60</f>
        <v>0</v>
      </c>
      <c r="AK60" s="300">
        <f>'BS (Bull-Case)'!AK60-'BS (Base-Case)'!AK60</f>
        <v>0</v>
      </c>
      <c r="AL60" s="6">
        <f>'BS (Bull-Case)'!AL60-'BS (Base-Case)'!AL60</f>
        <v>0</v>
      </c>
      <c r="AM60" s="300">
        <f>'BS (Bull-Case)'!AM60-'BS (Base-Case)'!AM60</f>
        <v>0</v>
      </c>
      <c r="AN60" s="300">
        <f>'BS (Bull-Case)'!AN60-'BS (Base-Case)'!AN60</f>
        <v>0</v>
      </c>
      <c r="AO60" s="300">
        <f>'BS (Bull-Case)'!AO60-'BS (Base-Case)'!AO60</f>
        <v>0</v>
      </c>
      <c r="AP60" s="300">
        <f>'BS (Bull-Case)'!AP60-'BS (Base-Case)'!AP60</f>
        <v>0</v>
      </c>
      <c r="AQ60" s="6">
        <f>'BS (Bull-Case)'!AQ60-'BS (Base-Case)'!AQ60</f>
        <v>0</v>
      </c>
      <c r="AR60" s="300">
        <f>'BS (Bull-Case)'!AR60-'BS (Base-Case)'!AR60</f>
        <v>0</v>
      </c>
      <c r="AS60" s="300">
        <f>'BS (Bull-Case)'!AS60-'BS (Base-Case)'!AS60</f>
        <v>0</v>
      </c>
      <c r="AT60" s="300">
        <f>'BS (Bull-Case)'!AT60-'BS (Base-Case)'!AT60</f>
        <v>0</v>
      </c>
      <c r="AU60" s="300">
        <f>'BS (Bull-Case)'!AU60-'BS (Base-Case)'!AU60</f>
        <v>0</v>
      </c>
      <c r="AV60" s="6">
        <f>'BS (Bull-Case)'!AV60-'BS (Base-Case)'!AV60</f>
        <v>0</v>
      </c>
    </row>
    <row r="61" spans="2:48" s="302" customFormat="1" outlineLevel="1" x14ac:dyDescent="0.3">
      <c r="B61" s="200" t="s">
        <v>264</v>
      </c>
      <c r="C61" s="297"/>
      <c r="D61" s="298">
        <f>'BS (Bull-Case)'!D61-'BS (Base-Case)'!D61</f>
        <v>0</v>
      </c>
      <c r="E61" s="298">
        <f>'BS (Bull-Case)'!E61-'BS (Base-Case)'!E61</f>
        <v>0</v>
      </c>
      <c r="F61" s="146">
        <f>'BS (Bull-Case)'!F61-'BS (Base-Case)'!F61</f>
        <v>0</v>
      </c>
      <c r="G61" s="146">
        <f>'BS (Bull-Case)'!G61-'BS (Base-Case)'!G61</f>
        <v>0</v>
      </c>
      <c r="H61" s="122">
        <f>'BS (Bull-Case)'!H61-'BS (Base-Case)'!H61</f>
        <v>0</v>
      </c>
      <c r="I61" s="299">
        <f>'BS (Bull-Case)'!I61-'BS (Base-Case)'!I61</f>
        <v>0</v>
      </c>
      <c r="J61" s="299">
        <f>'BS (Bull-Case)'!J61-'BS (Base-Case)'!J61</f>
        <v>0</v>
      </c>
      <c r="K61" s="146">
        <f>'BS (Bull-Case)'!K61-'BS (Base-Case)'!K61</f>
        <v>0</v>
      </c>
      <c r="L61" s="146">
        <f>'BS (Bull-Case)'!L61-'BS (Base-Case)'!L61</f>
        <v>0</v>
      </c>
      <c r="M61" s="26">
        <f>'BS (Bull-Case)'!M61-'BS (Base-Case)'!M61</f>
        <v>0</v>
      </c>
      <c r="N61" s="299">
        <f>'BS (Bull-Case)'!N61-'BS (Base-Case)'!N61</f>
        <v>0</v>
      </c>
      <c r="O61" s="299">
        <f>'BS (Bull-Case)'!O61-'BS (Base-Case)'!O61</f>
        <v>0</v>
      </c>
      <c r="P61" s="146">
        <f>'BS (Bull-Case)'!P61-'BS (Base-Case)'!P61</f>
        <v>0</v>
      </c>
      <c r="Q61" s="146">
        <f>'BS (Bull-Case)'!Q61-'BS (Base-Case)'!Q61</f>
        <v>0</v>
      </c>
      <c r="R61" s="26">
        <f>'BS (Bull-Case)'!R61-'BS (Base-Case)'!R61</f>
        <v>0</v>
      </c>
      <c r="S61" s="299">
        <f>'BS (Bull-Case)'!S61-'BS (Base-Case)'!S61</f>
        <v>0</v>
      </c>
      <c r="T61" s="299">
        <f>'BS (Bull-Case)'!T61-'BS (Base-Case)'!T61</f>
        <v>0</v>
      </c>
      <c r="U61" s="299">
        <f>'BS (Bull-Case)'!U61-'BS (Base-Case)'!U61</f>
        <v>0</v>
      </c>
      <c r="V61" s="300">
        <f>'BS (Bull-Case)'!V61-'BS (Base-Case)'!V61</f>
        <v>0</v>
      </c>
      <c r="W61" s="26">
        <f>'BS (Bull-Case)'!W61-'BS (Base-Case)'!W61</f>
        <v>0</v>
      </c>
      <c r="X61" s="301">
        <f>'BS (Bull-Case)'!X61-'BS (Base-Case)'!X61</f>
        <v>0</v>
      </c>
      <c r="Y61" s="301">
        <f>'BS (Bull-Case)'!Y61-'BS (Base-Case)'!Y61</f>
        <v>0</v>
      </c>
      <c r="Z61" s="300">
        <f>'BS (Bull-Case)'!Z61-'BS (Base-Case)'!Z61</f>
        <v>0</v>
      </c>
      <c r="AA61" s="300">
        <f>'BS (Bull-Case)'!AA61-'BS (Base-Case)'!AA61</f>
        <v>0</v>
      </c>
      <c r="AB61" s="6">
        <f>'BS (Bull-Case)'!AB61-'BS (Base-Case)'!AB61</f>
        <v>0</v>
      </c>
      <c r="AC61" s="301">
        <f>'BS (Bull-Case)'!AC61-'BS (Base-Case)'!AC61</f>
        <v>0</v>
      </c>
      <c r="AD61" s="301">
        <f>'BS (Bull-Case)'!AD61-'BS (Base-Case)'!AD61</f>
        <v>0</v>
      </c>
      <c r="AE61" s="300">
        <f>'BS (Bull-Case)'!AE61-'BS (Base-Case)'!AE61</f>
        <v>0</v>
      </c>
      <c r="AF61" s="300">
        <f>'BS (Bull-Case)'!AF61-'BS (Base-Case)'!AF61</f>
        <v>0</v>
      </c>
      <c r="AG61" s="6">
        <f>'BS (Bull-Case)'!AG61-'BS (Base-Case)'!AG61</f>
        <v>0</v>
      </c>
      <c r="AH61" s="301">
        <f>'BS (Bull-Case)'!AH61-'BS (Base-Case)'!AH61</f>
        <v>0</v>
      </c>
      <c r="AI61" s="301">
        <f>'BS (Bull-Case)'!AI61-'BS (Base-Case)'!AI61</f>
        <v>0</v>
      </c>
      <c r="AJ61" s="300">
        <f>'BS (Bull-Case)'!AJ61-'BS (Base-Case)'!AJ61</f>
        <v>-1466.3660628610346</v>
      </c>
      <c r="AK61" s="300">
        <f>'BS (Bull-Case)'!AK61-'BS (Base-Case)'!AK61</f>
        <v>0</v>
      </c>
      <c r="AL61" s="6">
        <f>'BS (Bull-Case)'!AL61-'BS (Base-Case)'!AL61</f>
        <v>0</v>
      </c>
      <c r="AM61" s="301">
        <f>'BS (Bull-Case)'!AM61-'BS (Base-Case)'!AM61</f>
        <v>0</v>
      </c>
      <c r="AN61" s="301">
        <f>'BS (Bull-Case)'!AN61-'BS (Base-Case)'!AN61</f>
        <v>0</v>
      </c>
      <c r="AO61" s="300">
        <f>'BS (Bull-Case)'!AO61-'BS (Base-Case)'!AO61</f>
        <v>0</v>
      </c>
      <c r="AP61" s="300">
        <f>'BS (Bull-Case)'!AP61-'BS (Base-Case)'!AP61</f>
        <v>0</v>
      </c>
      <c r="AQ61" s="6">
        <f>'BS (Bull-Case)'!AQ61-'BS (Base-Case)'!AQ61</f>
        <v>0</v>
      </c>
      <c r="AR61" s="301">
        <f>'BS (Bull-Case)'!AR61-'BS (Base-Case)'!AR61</f>
        <v>0</v>
      </c>
      <c r="AS61" s="301">
        <f>'BS (Bull-Case)'!AS61-'BS (Base-Case)'!AS61</f>
        <v>0</v>
      </c>
      <c r="AT61" s="300">
        <f>'BS (Bull-Case)'!AT61-'BS (Base-Case)'!AT61</f>
        <v>0</v>
      </c>
      <c r="AU61" s="300">
        <f>'BS (Bull-Case)'!AU61-'BS (Base-Case)'!AU61</f>
        <v>0</v>
      </c>
      <c r="AV61" s="6">
        <f>'BS (Bull-Case)'!AV61-'BS (Base-Case)'!AV61</f>
        <v>0</v>
      </c>
    </row>
    <row r="62" spans="2:48" s="23" customFormat="1" outlineLevel="1" x14ac:dyDescent="0.3">
      <c r="B62" s="200" t="s">
        <v>265</v>
      </c>
      <c r="C62" s="201"/>
      <c r="D62" s="179">
        <f>'BS (Bull-Case)'!D62-'BS (Base-Case)'!D62</f>
        <v>0</v>
      </c>
      <c r="E62" s="179">
        <f>'BS (Bull-Case)'!E62-'BS (Base-Case)'!E62</f>
        <v>0</v>
      </c>
      <c r="F62" s="303">
        <f>'BS (Bull-Case)'!F62-'BS (Base-Case)'!F62</f>
        <v>0</v>
      </c>
      <c r="G62" s="303">
        <f>'BS (Bull-Case)'!G62-'BS (Base-Case)'!G62</f>
        <v>0</v>
      </c>
      <c r="H62" s="128">
        <f>'BS (Bull-Case)'!H62-'BS (Base-Case)'!H62</f>
        <v>0</v>
      </c>
      <c r="I62" s="303">
        <f>'BS (Bull-Case)'!I62-'BS (Base-Case)'!I62</f>
        <v>0</v>
      </c>
      <c r="J62" s="303">
        <f>'BS (Bull-Case)'!J62-'BS (Base-Case)'!J62</f>
        <v>0</v>
      </c>
      <c r="K62" s="303">
        <f>'BS (Bull-Case)'!K62-'BS (Base-Case)'!K62</f>
        <v>0</v>
      </c>
      <c r="L62" s="179">
        <f>'BS (Bull-Case)'!L62-'BS (Base-Case)'!L62</f>
        <v>0</v>
      </c>
      <c r="M62" s="28">
        <f>'BS (Bull-Case)'!M62-'BS (Base-Case)'!M62</f>
        <v>0</v>
      </c>
      <c r="N62" s="179">
        <f>'BS (Bull-Case)'!N62-'BS (Base-Case)'!N62</f>
        <v>0</v>
      </c>
      <c r="O62" s="179">
        <f>'BS (Bull-Case)'!O62-'BS (Base-Case)'!O62</f>
        <v>0</v>
      </c>
      <c r="P62" s="179">
        <f>'BS (Bull-Case)'!P62-'BS (Base-Case)'!P62</f>
        <v>0</v>
      </c>
      <c r="Q62" s="179">
        <f>'BS (Bull-Case)'!Q62-'BS (Base-Case)'!Q62</f>
        <v>0</v>
      </c>
      <c r="R62" s="28">
        <f>'BS (Bull-Case)'!R62-'BS (Base-Case)'!R62</f>
        <v>0</v>
      </c>
      <c r="S62" s="179">
        <f>'BS (Bull-Case)'!S62-'BS (Base-Case)'!S62</f>
        <v>0</v>
      </c>
      <c r="T62" s="179">
        <f>'BS (Bull-Case)'!T62-'BS (Base-Case)'!T62</f>
        <v>0</v>
      </c>
      <c r="U62" s="179">
        <f>'BS (Bull-Case)'!U62-'BS (Base-Case)'!U62</f>
        <v>0</v>
      </c>
      <c r="V62" s="179">
        <f>'BS (Bull-Case)'!V62-'BS (Base-Case)'!V62</f>
        <v>0</v>
      </c>
      <c r="W62" s="28">
        <f>'BS (Bull-Case)'!W62-'BS (Base-Case)'!W62</f>
        <v>0</v>
      </c>
      <c r="X62" s="179">
        <f>'BS (Bull-Case)'!X62-'BS (Base-Case)'!X62</f>
        <v>-3.2954517243062309E-3</v>
      </c>
      <c r="Y62" s="179">
        <f>'BS (Bull-Case)'!Y62-'BS (Base-Case)'!Y62</f>
        <v>-6.7549386082539353E-3</v>
      </c>
      <c r="Z62" s="179">
        <f>'BS (Bull-Case)'!Z62-'BS (Base-Case)'!Z62</f>
        <v>-1.261140566907315E-2</v>
      </c>
      <c r="AA62" s="179">
        <f>'BS (Bull-Case)'!AA62-'BS (Base-Case)'!AA62</f>
        <v>-2.0292651437199272E-2</v>
      </c>
      <c r="AB62" s="28">
        <f>'BS (Bull-Case)'!AB62-'BS (Base-Case)'!AB62</f>
        <v>0</v>
      </c>
      <c r="AC62" s="179">
        <f>'BS (Bull-Case)'!AC62-'BS (Base-Case)'!AC62</f>
        <v>-4.2240379728569977E-2</v>
      </c>
      <c r="AD62" s="179">
        <f>'BS (Bull-Case)'!AD62-'BS (Base-Case)'!AD62</f>
        <v>-6.6156381536552455E-2</v>
      </c>
      <c r="AE62" s="179">
        <f>'BS (Bull-Case)'!AE62-'BS (Base-Case)'!AE62</f>
        <v>-0.10811058198018397</v>
      </c>
      <c r="AF62" s="179">
        <f>'BS (Bull-Case)'!AF62-'BS (Base-Case)'!AF62</f>
        <v>-0.16438092076879274</v>
      </c>
      <c r="AG62" s="28">
        <f>'BS (Bull-Case)'!AG62-'BS (Base-Case)'!AG62</f>
        <v>0</v>
      </c>
      <c r="AH62" s="179">
        <f>'BS (Bull-Case)'!AH62-'BS (Base-Case)'!AH62</f>
        <v>-0.30463186410088205</v>
      </c>
      <c r="AI62" s="179">
        <f>'BS (Bull-Case)'!AI62-'BS (Base-Case)'!AI62</f>
        <v>-0.48111063225908079</v>
      </c>
      <c r="AJ62" s="179">
        <f>'BS (Bull-Case)'!AJ62-'BS (Base-Case)'!AJ62</f>
        <v>-0.56547631642715857</v>
      </c>
      <c r="AK62" s="179">
        <f>'BS (Bull-Case)'!AK62-'BS (Base-Case)'!AK62</f>
        <v>-0.46317602816878867</v>
      </c>
      <c r="AL62" s="28">
        <f>'BS (Bull-Case)'!AL62-'BS (Base-Case)'!AL62</f>
        <v>0</v>
      </c>
      <c r="AM62" s="179">
        <f>'BS (Bull-Case)'!AM62-'BS (Base-Case)'!AM62</f>
        <v>-0.55023490443364742</v>
      </c>
      <c r="AN62" s="179">
        <f>'BS (Bull-Case)'!AN62-'BS (Base-Case)'!AN62</f>
        <v>-0.61621440400502525</v>
      </c>
      <c r="AO62" s="179">
        <f>'BS (Bull-Case)'!AO62-'BS (Base-Case)'!AO62</f>
        <v>-0.76040563704591491</v>
      </c>
      <c r="AP62" s="179">
        <f>'BS (Bull-Case)'!AP62-'BS (Base-Case)'!AP62</f>
        <v>-0.92429344952055037</v>
      </c>
      <c r="AQ62" s="28">
        <f>'BS (Bull-Case)'!AQ62-'BS (Base-Case)'!AQ62</f>
        <v>0</v>
      </c>
      <c r="AR62" s="179">
        <f>'BS (Bull-Case)'!AR62-'BS (Base-Case)'!AR62</f>
        <v>-1.1776010414135398</v>
      </c>
      <c r="AS62" s="179">
        <f>'BS (Bull-Case)'!AS62-'BS (Base-Case)'!AS62</f>
        <v>-1.3978816000944652</v>
      </c>
      <c r="AT62" s="179">
        <f>'BS (Bull-Case)'!AT62-'BS (Base-Case)'!AT62</f>
        <v>-1.9256167250297231</v>
      </c>
      <c r="AU62" s="179">
        <f>'BS (Bull-Case)'!AU62-'BS (Base-Case)'!AU62</f>
        <v>-2.6765656469782853</v>
      </c>
      <c r="AV62" s="28">
        <f>'BS (Bull-Case)'!AV62-'BS (Base-Case)'!AV62</f>
        <v>0</v>
      </c>
    </row>
    <row r="63" spans="2:48" s="23" customFormat="1" outlineLevel="1" x14ac:dyDescent="0.3">
      <c r="B63" s="200" t="s">
        <v>266</v>
      </c>
      <c r="C63" s="201"/>
      <c r="D63" s="179">
        <f>'BS (Bull-Case)'!D63-'BS (Base-Case)'!D63</f>
        <v>0</v>
      </c>
      <c r="E63" s="179">
        <f>'BS (Bull-Case)'!E63-'BS (Base-Case)'!E63</f>
        <v>0</v>
      </c>
      <c r="F63" s="303">
        <f>'BS (Bull-Case)'!F63-'BS (Base-Case)'!F63</f>
        <v>0</v>
      </c>
      <c r="G63" s="303">
        <f>'BS (Bull-Case)'!G63-'BS (Base-Case)'!G63</f>
        <v>0</v>
      </c>
      <c r="H63" s="128">
        <f>'BS (Bull-Case)'!H63-'BS (Base-Case)'!H63</f>
        <v>0</v>
      </c>
      <c r="I63" s="303">
        <f>'BS (Bull-Case)'!I63-'BS (Base-Case)'!I63</f>
        <v>0</v>
      </c>
      <c r="J63" s="303">
        <f>'BS (Bull-Case)'!J63-'BS (Base-Case)'!J63</f>
        <v>0</v>
      </c>
      <c r="K63" s="303">
        <f>'BS (Bull-Case)'!K63-'BS (Base-Case)'!K63</f>
        <v>0</v>
      </c>
      <c r="L63" s="179">
        <f>'BS (Bull-Case)'!L63-'BS (Base-Case)'!L63</f>
        <v>0</v>
      </c>
      <c r="M63" s="28">
        <f>'BS (Bull-Case)'!M63-'BS (Base-Case)'!M63</f>
        <v>0</v>
      </c>
      <c r="N63" s="179">
        <f>'BS (Bull-Case)'!N63-'BS (Base-Case)'!N63</f>
        <v>0</v>
      </c>
      <c r="O63" s="179">
        <f>'BS (Bull-Case)'!O63-'BS (Base-Case)'!O63</f>
        <v>0</v>
      </c>
      <c r="P63" s="179">
        <f>'BS (Bull-Case)'!P63-'BS (Base-Case)'!P63</f>
        <v>0</v>
      </c>
      <c r="Q63" s="179">
        <f>'BS (Bull-Case)'!Q63-'BS (Base-Case)'!Q63</f>
        <v>0</v>
      </c>
      <c r="R63" s="28">
        <f>'BS (Bull-Case)'!R63-'BS (Base-Case)'!R63</f>
        <v>0</v>
      </c>
      <c r="S63" s="179">
        <f>'BS (Bull-Case)'!S63-'BS (Base-Case)'!S63</f>
        <v>0</v>
      </c>
      <c r="T63" s="179">
        <f>'BS (Bull-Case)'!T63-'BS (Base-Case)'!T63</f>
        <v>0</v>
      </c>
      <c r="U63" s="179">
        <f>'BS (Bull-Case)'!U63-'BS (Base-Case)'!U63</f>
        <v>0</v>
      </c>
      <c r="V63" s="179">
        <f>'BS (Bull-Case)'!V63-'BS (Base-Case)'!V63</f>
        <v>0</v>
      </c>
      <c r="W63" s="28">
        <f>'BS (Bull-Case)'!W63-'BS (Base-Case)'!W63</f>
        <v>0</v>
      </c>
      <c r="X63" s="179">
        <f>'BS (Bull-Case)'!X63-'BS (Base-Case)'!X63</f>
        <v>0</v>
      </c>
      <c r="Y63" s="179">
        <f>'BS (Bull-Case)'!Y63-'BS (Base-Case)'!Y63</f>
        <v>0</v>
      </c>
      <c r="Z63" s="179">
        <f>'BS (Bull-Case)'!Z63-'BS (Base-Case)'!Z63</f>
        <v>0</v>
      </c>
      <c r="AA63" s="179">
        <f>'BS (Bull-Case)'!AA63-'BS (Base-Case)'!AA63</f>
        <v>0</v>
      </c>
      <c r="AB63" s="28">
        <f>'BS (Bull-Case)'!AB63-'BS (Base-Case)'!AB63</f>
        <v>0</v>
      </c>
      <c r="AC63" s="179">
        <f>'BS (Bull-Case)'!AC63-'BS (Base-Case)'!AC63</f>
        <v>0</v>
      </c>
      <c r="AD63" s="179">
        <f>'BS (Bull-Case)'!AD63-'BS (Base-Case)'!AD63</f>
        <v>0</v>
      </c>
      <c r="AE63" s="179">
        <f>'BS (Bull-Case)'!AE63-'BS (Base-Case)'!AE63</f>
        <v>0</v>
      </c>
      <c r="AF63" s="179">
        <f>'BS (Bull-Case)'!AF63-'BS (Base-Case)'!AF63</f>
        <v>0</v>
      </c>
      <c r="AG63" s="28">
        <f>'BS (Bull-Case)'!AG63-'BS (Base-Case)'!AG63</f>
        <v>0</v>
      </c>
      <c r="AH63" s="179">
        <f>'BS (Bull-Case)'!AH63-'BS (Base-Case)'!AH63</f>
        <v>0</v>
      </c>
      <c r="AI63" s="179">
        <f>'BS (Bull-Case)'!AI63-'BS (Base-Case)'!AI63</f>
        <v>0</v>
      </c>
      <c r="AJ63" s="179">
        <f>'BS (Bull-Case)'!AJ63-'BS (Base-Case)'!AJ63</f>
        <v>4.7840678710366208E-3</v>
      </c>
      <c r="AK63" s="179">
        <f>'BS (Bull-Case)'!AK63-'BS (Base-Case)'!AK63</f>
        <v>1.9138567653031076E-3</v>
      </c>
      <c r="AL63" s="28">
        <f>'BS (Bull-Case)'!AL63-'BS (Base-Case)'!AL63</f>
        <v>0</v>
      </c>
      <c r="AM63" s="179">
        <f>'BS (Bull-Case)'!AM63-'BS (Base-Case)'!AM63</f>
        <v>1.9138567653031076E-3</v>
      </c>
      <c r="AN63" s="179">
        <f>'BS (Bull-Case)'!AN63-'BS (Base-Case)'!AN63</f>
        <v>1.9138567653031076E-3</v>
      </c>
      <c r="AO63" s="179">
        <f>'BS (Bull-Case)'!AO63-'BS (Base-Case)'!AO63</f>
        <v>1.9138567653031076E-3</v>
      </c>
      <c r="AP63" s="179">
        <f>'BS (Bull-Case)'!AP63-'BS (Base-Case)'!AP63</f>
        <v>1.9138567653031076E-3</v>
      </c>
      <c r="AQ63" s="28">
        <f>'BS (Bull-Case)'!AQ63-'BS (Base-Case)'!AQ63</f>
        <v>0</v>
      </c>
      <c r="AR63" s="179">
        <f>'BS (Bull-Case)'!AR63-'BS (Base-Case)'!AR63</f>
        <v>1.9138567653031076E-3</v>
      </c>
      <c r="AS63" s="179">
        <f>'BS (Bull-Case)'!AS63-'BS (Base-Case)'!AS63</f>
        <v>3.8269481409745346E-7</v>
      </c>
      <c r="AT63" s="179">
        <f>'BS (Bull-Case)'!AT63-'BS (Base-Case)'!AT63</f>
        <v>3.8269481409745346E-7</v>
      </c>
      <c r="AU63" s="179">
        <f>'BS (Bull-Case)'!AU63-'BS (Base-Case)'!AU63</f>
        <v>3.8269481409745346E-7</v>
      </c>
      <c r="AV63" s="28">
        <f>'BS (Bull-Case)'!AV63-'BS (Base-Case)'!AV63</f>
        <v>0</v>
      </c>
    </row>
    <row r="64" spans="2:48" outlineLevel="1" x14ac:dyDescent="0.3">
      <c r="B64" s="200" t="s">
        <v>329</v>
      </c>
      <c r="C64" s="201"/>
      <c r="D64" s="304">
        <f>'BS (Bull-Case)'!D64-'BS (Base-Case)'!D64</f>
        <v>0</v>
      </c>
      <c r="E64" s="304">
        <f>'BS (Bull-Case)'!E64-'BS (Base-Case)'!E64</f>
        <v>0</v>
      </c>
      <c r="F64" s="304">
        <f>'BS (Bull-Case)'!F64-'BS (Base-Case)'!F64</f>
        <v>0</v>
      </c>
      <c r="G64" s="304">
        <f>'BS (Bull-Case)'!G64-'BS (Base-Case)'!G64</f>
        <v>0</v>
      </c>
      <c r="H64" s="306">
        <f>'BS (Bull-Case)'!H64-'BS (Base-Case)'!H64</f>
        <v>0</v>
      </c>
      <c r="I64" s="305">
        <f>'BS (Bull-Case)'!I64-'BS (Base-Case)'!I64</f>
        <v>0</v>
      </c>
      <c r="J64" s="305">
        <f>'BS (Bull-Case)'!J64-'BS (Base-Case)'!J64</f>
        <v>0</v>
      </c>
      <c r="K64" s="305">
        <f>'BS (Bull-Case)'!K64-'BS (Base-Case)'!K64</f>
        <v>0</v>
      </c>
      <c r="L64" s="305">
        <f>'BS (Bull-Case)'!L64-'BS (Base-Case)'!L64</f>
        <v>0</v>
      </c>
      <c r="M64" s="306">
        <f>'BS (Bull-Case)'!M64-'BS (Base-Case)'!M64</f>
        <v>0</v>
      </c>
      <c r="N64" s="305">
        <f>'BS (Bull-Case)'!N64-'BS (Base-Case)'!N64</f>
        <v>0</v>
      </c>
      <c r="O64" s="305">
        <f>'BS (Bull-Case)'!O64-'BS (Base-Case)'!O64</f>
        <v>0</v>
      </c>
      <c r="P64" s="305">
        <f>'BS (Bull-Case)'!P64-'BS (Base-Case)'!P64</f>
        <v>0</v>
      </c>
      <c r="Q64" s="305">
        <f>'BS (Bull-Case)'!Q64-'BS (Base-Case)'!Q64</f>
        <v>0</v>
      </c>
      <c r="R64" s="306">
        <f>'BS (Bull-Case)'!R64-'BS (Base-Case)'!R64</f>
        <v>0</v>
      </c>
      <c r="S64" s="305">
        <f>'BS (Bull-Case)'!S64-'BS (Base-Case)'!S64</f>
        <v>0</v>
      </c>
      <c r="T64" s="305">
        <f>'BS (Bull-Case)'!T64-'BS (Base-Case)'!T64</f>
        <v>0</v>
      </c>
      <c r="U64" s="305">
        <f>'BS (Bull-Case)'!U64-'BS (Base-Case)'!U64</f>
        <v>0</v>
      </c>
      <c r="V64" s="305">
        <f>'BS (Bull-Case)'!V64-'BS (Base-Case)'!V64</f>
        <v>0</v>
      </c>
      <c r="W64" s="306">
        <f>'BS (Bull-Case)'!W64-'BS (Base-Case)'!W64</f>
        <v>0</v>
      </c>
      <c r="X64" s="307">
        <f>'BS (Bull-Case)'!X64-'BS (Base-Case)'!X64</f>
        <v>0</v>
      </c>
      <c r="Y64" s="307">
        <f>'BS (Bull-Case)'!Y64-'BS (Base-Case)'!Y64</f>
        <v>0</v>
      </c>
      <c r="Z64" s="307">
        <f>'BS (Bull-Case)'!Z64-'BS (Base-Case)'!Z64</f>
        <v>0</v>
      </c>
      <c r="AA64" s="307">
        <f>'BS (Bull-Case)'!AA64-'BS (Base-Case)'!AA64</f>
        <v>0</v>
      </c>
      <c r="AB64" s="306">
        <f>'BS (Bull-Case)'!AB64-'BS (Base-Case)'!AB64</f>
        <v>-6.3550233350050611E-2</v>
      </c>
      <c r="AC64" s="307">
        <f>'BS (Bull-Case)'!AC64-'BS (Base-Case)'!AC64</f>
        <v>0</v>
      </c>
      <c r="AD64" s="307">
        <f>'BS (Bull-Case)'!AD64-'BS (Base-Case)'!AD64</f>
        <v>0</v>
      </c>
      <c r="AE64" s="307">
        <f>'BS (Bull-Case)'!AE64-'BS (Base-Case)'!AE64</f>
        <v>0</v>
      </c>
      <c r="AF64" s="307">
        <f>'BS (Bull-Case)'!AF64-'BS (Base-Case)'!AF64</f>
        <v>0</v>
      </c>
      <c r="AG64" s="405">
        <f>'BS (Bull-Case)'!AG64-'BS (Base-Case)'!AG64</f>
        <v>-0.1242534893793743</v>
      </c>
      <c r="AH64" s="307">
        <f>'BS (Bull-Case)'!AH64-'BS (Base-Case)'!AH64</f>
        <v>0</v>
      </c>
      <c r="AI64" s="307">
        <f>'BS (Bull-Case)'!AI64-'BS (Base-Case)'!AI64</f>
        <v>0</v>
      </c>
      <c r="AJ64" s="307">
        <f>'BS (Bull-Case)'!AJ64-'BS (Base-Case)'!AJ64</f>
        <v>0</v>
      </c>
      <c r="AK64" s="307">
        <f>'BS (Bull-Case)'!AK64-'BS (Base-Case)'!AK64</f>
        <v>0</v>
      </c>
      <c r="AL64" s="405">
        <f>'BS (Bull-Case)'!AL64-'BS (Base-Case)'!AL64</f>
        <v>-0.41904334449416725</v>
      </c>
      <c r="AM64" s="307">
        <f>'BS (Bull-Case)'!AM64-'BS (Base-Case)'!AM64</f>
        <v>0</v>
      </c>
      <c r="AN64" s="307">
        <f>'BS (Bull-Case)'!AN64-'BS (Base-Case)'!AN64</f>
        <v>0</v>
      </c>
      <c r="AO64" s="307">
        <f>'BS (Bull-Case)'!AO64-'BS (Base-Case)'!AO64</f>
        <v>0</v>
      </c>
      <c r="AP64" s="307">
        <f>'BS (Bull-Case)'!AP64-'BS (Base-Case)'!AP64</f>
        <v>0</v>
      </c>
      <c r="AQ64" s="306">
        <f>'BS (Bull-Case)'!AQ64-'BS (Base-Case)'!AQ64</f>
        <v>-0.36811990593671329</v>
      </c>
      <c r="AR64" s="307">
        <f>'BS (Bull-Case)'!AR64-'BS (Base-Case)'!AR64</f>
        <v>0</v>
      </c>
      <c r="AS64" s="307">
        <f>'BS (Bull-Case)'!AS64-'BS (Base-Case)'!AS64</f>
        <v>0</v>
      </c>
      <c r="AT64" s="307">
        <f>'BS (Bull-Case)'!AT64-'BS (Base-Case)'!AT64</f>
        <v>0</v>
      </c>
      <c r="AU64" s="307">
        <f>'BS (Bull-Case)'!AU64-'BS (Base-Case)'!AU64</f>
        <v>0</v>
      </c>
      <c r="AV64" s="306">
        <f>'BS (Bull-Case)'!AV64-'BS (Base-Case)'!AV64</f>
        <v>-0.34218657952472986</v>
      </c>
    </row>
    <row r="65" spans="2:48" outlineLevel="1" x14ac:dyDescent="0.3">
      <c r="B65" s="180" t="s">
        <v>326</v>
      </c>
      <c r="C65" s="44"/>
      <c r="D65" s="139">
        <f>'BS (Bull-Case)'!D65-'BS (Base-Case)'!D65</f>
        <v>0</v>
      </c>
      <c r="E65" s="139">
        <f>'BS (Bull-Case)'!E65-'BS (Base-Case)'!E65</f>
        <v>0</v>
      </c>
      <c r="F65" s="309">
        <f>'BS (Bull-Case)'!F65-'BS (Base-Case)'!F65</f>
        <v>0</v>
      </c>
      <c r="G65" s="309">
        <f>'BS (Bull-Case)'!G65-'BS (Base-Case)'!G65</f>
        <v>0</v>
      </c>
      <c r="H65" s="17">
        <f>'BS (Bull-Case)'!H65-'BS (Base-Case)'!H65</f>
        <v>0</v>
      </c>
      <c r="I65" s="139">
        <f>'BS (Bull-Case)'!I65-'BS (Base-Case)'!I65</f>
        <v>0</v>
      </c>
      <c r="J65" s="139">
        <f>'BS (Bull-Case)'!J65-'BS (Base-Case)'!J65</f>
        <v>0</v>
      </c>
      <c r="K65" s="309">
        <f>'BS (Bull-Case)'!K65-'BS (Base-Case)'!K65</f>
        <v>0</v>
      </c>
      <c r="L65" s="309">
        <f>'BS (Bull-Case)'!L65-'BS (Base-Case)'!L65</f>
        <v>0</v>
      </c>
      <c r="M65" s="17">
        <f>'BS (Bull-Case)'!M65-'BS (Base-Case)'!M65</f>
        <v>0</v>
      </c>
      <c r="N65" s="139">
        <f>'BS (Bull-Case)'!N65-'BS (Base-Case)'!N65</f>
        <v>0</v>
      </c>
      <c r="O65" s="139">
        <f>'BS (Bull-Case)'!O65-'BS (Base-Case)'!O65</f>
        <v>0</v>
      </c>
      <c r="P65" s="309">
        <f>'BS (Bull-Case)'!P65-'BS (Base-Case)'!P65</f>
        <v>0</v>
      </c>
      <c r="Q65" s="309">
        <f>'BS (Bull-Case)'!Q65-'BS (Base-Case)'!Q65</f>
        <v>0</v>
      </c>
      <c r="R65" s="17">
        <f>'BS (Bull-Case)'!R65-'BS (Base-Case)'!R65</f>
        <v>0</v>
      </c>
      <c r="S65" s="139">
        <f>'BS (Bull-Case)'!S65-'BS (Base-Case)'!S65</f>
        <v>0</v>
      </c>
      <c r="T65" s="139">
        <f>'BS (Bull-Case)'!T65-'BS (Base-Case)'!T65</f>
        <v>0</v>
      </c>
      <c r="U65" s="309">
        <f>'BS (Bull-Case)'!U65-'BS (Base-Case)'!U65</f>
        <v>0</v>
      </c>
      <c r="V65" s="309">
        <f>'BS (Bull-Case)'!V65-'BS (Base-Case)'!V65</f>
        <v>0</v>
      </c>
      <c r="W65" s="17">
        <f>'BS (Bull-Case)'!W65-'BS (Base-Case)'!W65</f>
        <v>0</v>
      </c>
      <c r="X65" s="139">
        <f>'BS (Bull-Case)'!X65-'BS (Base-Case)'!X65</f>
        <v>0</v>
      </c>
      <c r="Y65" s="305">
        <f>'BS (Bull-Case)'!Y65-'BS (Base-Case)'!Y65</f>
        <v>0</v>
      </c>
      <c r="Z65" s="305">
        <f>'BS (Bull-Case)'!Z65-'BS (Base-Case)'!Z65</f>
        <v>0</v>
      </c>
      <c r="AA65" s="310">
        <f>'BS (Bull-Case)'!AA65-'BS (Base-Case)'!AA65</f>
        <v>0</v>
      </c>
      <c r="AB65" s="17">
        <f>'BS (Bull-Case)'!AB65-'BS (Base-Case)'!AB65</f>
        <v>79.693525346985552</v>
      </c>
      <c r="AC65" s="139">
        <f>'BS (Bull-Case)'!AC65-'BS (Base-Case)'!AC65</f>
        <v>0</v>
      </c>
      <c r="AD65" s="139">
        <f>'BS (Bull-Case)'!AD65-'BS (Base-Case)'!AD65</f>
        <v>0</v>
      </c>
      <c r="AE65" s="309">
        <f>'BS (Bull-Case)'!AE65-'BS (Base-Case)'!AE65</f>
        <v>0</v>
      </c>
      <c r="AF65" s="309">
        <f>'BS (Bull-Case)'!AF65-'BS (Base-Case)'!AF65</f>
        <v>0</v>
      </c>
      <c r="AG65" s="17">
        <f>'BS (Bull-Case)'!AG65-'BS (Base-Case)'!AG65</f>
        <v>229.54911463576354</v>
      </c>
      <c r="AH65" s="139">
        <f>'BS (Bull-Case)'!AH65-'BS (Base-Case)'!AH65</f>
        <v>0</v>
      </c>
      <c r="AI65" s="139">
        <f>'BS (Bull-Case)'!AI65-'BS (Base-Case)'!AI65</f>
        <v>0</v>
      </c>
      <c r="AJ65" s="309">
        <f>'BS (Bull-Case)'!AJ65-'BS (Base-Case)'!AJ65</f>
        <v>0</v>
      </c>
      <c r="AK65" s="309">
        <f>'BS (Bull-Case)'!AK65-'BS (Base-Case)'!AK65</f>
        <v>0</v>
      </c>
      <c r="AL65" s="17">
        <f>'BS (Bull-Case)'!AL65-'BS (Base-Case)'!AL65</f>
        <v>416.83828535924658</v>
      </c>
      <c r="AM65" s="139">
        <f>'BS (Bull-Case)'!AM65-'BS (Base-Case)'!AM65</f>
        <v>0</v>
      </c>
      <c r="AN65" s="139">
        <f>'BS (Bull-Case)'!AN65-'BS (Base-Case)'!AN65</f>
        <v>0</v>
      </c>
      <c r="AO65" s="309">
        <f>'BS (Bull-Case)'!AO65-'BS (Base-Case)'!AO65</f>
        <v>0</v>
      </c>
      <c r="AP65" s="309">
        <f>'BS (Bull-Case)'!AP65-'BS (Base-Case)'!AP65</f>
        <v>0</v>
      </c>
      <c r="AQ65" s="17">
        <f>'BS (Bull-Case)'!AQ65-'BS (Base-Case)'!AQ65</f>
        <v>452.23131470335102</v>
      </c>
      <c r="AR65" s="139">
        <f>'BS (Bull-Case)'!AR65-'BS (Base-Case)'!AR65</f>
        <v>0</v>
      </c>
      <c r="AS65" s="139">
        <f>'BS (Bull-Case)'!AS65-'BS (Base-Case)'!AS65</f>
        <v>0</v>
      </c>
      <c r="AT65" s="309">
        <f>'BS (Bull-Case)'!AT65-'BS (Base-Case)'!AT65</f>
        <v>0</v>
      </c>
      <c r="AU65" s="309">
        <f>'BS (Bull-Case)'!AU65-'BS (Base-Case)'!AU65</f>
        <v>0</v>
      </c>
      <c r="AV65" s="17">
        <f>'BS (Bull-Case)'!AV65-'BS (Base-Case)'!AV65</f>
        <v>479.71463198766469</v>
      </c>
    </row>
    <row r="66" spans="2:48" outlineLevel="1" x14ac:dyDescent="0.3">
      <c r="B66" s="180" t="s">
        <v>328</v>
      </c>
      <c r="C66" s="44"/>
      <c r="D66" s="139">
        <f>'BS (Bull-Case)'!D66-'BS (Base-Case)'!D66</f>
        <v>0</v>
      </c>
      <c r="E66" s="139">
        <f>'BS (Bull-Case)'!E66-'BS (Base-Case)'!E66</f>
        <v>0</v>
      </c>
      <c r="F66" s="309">
        <f>'BS (Bull-Case)'!F66-'BS (Base-Case)'!F66</f>
        <v>0</v>
      </c>
      <c r="G66" s="309">
        <f>'BS (Bull-Case)'!G66-'BS (Base-Case)'!G66</f>
        <v>0</v>
      </c>
      <c r="H66" s="387">
        <f>'BS (Bull-Case)'!H66-'BS (Base-Case)'!H66</f>
        <v>0</v>
      </c>
      <c r="I66" s="139">
        <f>'BS (Bull-Case)'!I66-'BS (Base-Case)'!I66</f>
        <v>0</v>
      </c>
      <c r="J66" s="139">
        <f>'BS (Bull-Case)'!J66-'BS (Base-Case)'!J66</f>
        <v>0</v>
      </c>
      <c r="K66" s="309">
        <f>'BS (Bull-Case)'!K66-'BS (Base-Case)'!K66</f>
        <v>0</v>
      </c>
      <c r="L66" s="309">
        <f>'BS (Bull-Case)'!L66-'BS (Base-Case)'!L66</f>
        <v>0</v>
      </c>
      <c r="M66" s="387">
        <f>'BS (Bull-Case)'!M66-'BS (Base-Case)'!M66</f>
        <v>0</v>
      </c>
      <c r="N66" s="139">
        <f>'BS (Bull-Case)'!N66-'BS (Base-Case)'!N66</f>
        <v>0</v>
      </c>
      <c r="O66" s="139">
        <f>'BS (Bull-Case)'!O66-'BS (Base-Case)'!O66</f>
        <v>0</v>
      </c>
      <c r="P66" s="309">
        <f>'BS (Bull-Case)'!P66-'BS (Base-Case)'!P66</f>
        <v>0</v>
      </c>
      <c r="Q66" s="309">
        <f>'BS (Bull-Case)'!Q66-'BS (Base-Case)'!Q66</f>
        <v>0</v>
      </c>
      <c r="R66" s="387">
        <f>'BS (Bull-Case)'!R66-'BS (Base-Case)'!R66</f>
        <v>0</v>
      </c>
      <c r="S66" s="139">
        <f>'BS (Bull-Case)'!S66-'BS (Base-Case)'!S66</f>
        <v>0</v>
      </c>
      <c r="T66" s="139">
        <f>'BS (Bull-Case)'!T66-'BS (Base-Case)'!T66</f>
        <v>0</v>
      </c>
      <c r="U66" s="309">
        <f>'BS (Bull-Case)'!U66-'BS (Base-Case)'!U66</f>
        <v>0</v>
      </c>
      <c r="V66" s="309">
        <f>'BS (Bull-Case)'!V66-'BS (Base-Case)'!V66</f>
        <v>0</v>
      </c>
      <c r="W66" s="388">
        <f>'BS (Bull-Case)'!W66-'BS (Base-Case)'!W66</f>
        <v>0</v>
      </c>
      <c r="X66" s="139">
        <f>'BS (Bull-Case)'!X66-'BS (Base-Case)'!X66</f>
        <v>0</v>
      </c>
      <c r="Y66" s="179">
        <f>'BS (Bull-Case)'!Y66-'BS (Base-Case)'!Y66</f>
        <v>0</v>
      </c>
      <c r="Z66" s="179">
        <f>'BS (Bull-Case)'!Z66-'BS (Base-Case)'!Z66</f>
        <v>0</v>
      </c>
      <c r="AA66" s="310">
        <f>'BS (Bull-Case)'!AA66-'BS (Base-Case)'!AA66</f>
        <v>0</v>
      </c>
      <c r="AB66" s="388">
        <f>'BS (Bull-Case)'!AB66-'BS (Base-Case)'!AB66</f>
        <v>0</v>
      </c>
      <c r="AC66" s="139">
        <f>'BS (Bull-Case)'!AC66-'BS (Base-Case)'!AC66</f>
        <v>0</v>
      </c>
      <c r="AD66" s="139">
        <f>'BS (Bull-Case)'!AD66-'BS (Base-Case)'!AD66</f>
        <v>0</v>
      </c>
      <c r="AE66" s="309">
        <f>'BS (Bull-Case)'!AE66-'BS (Base-Case)'!AE66</f>
        <v>0</v>
      </c>
      <c r="AF66" s="309">
        <f>'BS (Bull-Case)'!AF66-'BS (Base-Case)'!AF66</f>
        <v>0</v>
      </c>
      <c r="AG66" s="388">
        <f>'BS (Bull-Case)'!AG66-'BS (Base-Case)'!AG66</f>
        <v>0</v>
      </c>
      <c r="AH66" s="139">
        <f>'BS (Bull-Case)'!AH66-'BS (Base-Case)'!AH66</f>
        <v>0</v>
      </c>
      <c r="AI66" s="139">
        <f>'BS (Bull-Case)'!AI66-'BS (Base-Case)'!AI66</f>
        <v>0</v>
      </c>
      <c r="AJ66" s="309">
        <f>'BS (Bull-Case)'!AJ66-'BS (Base-Case)'!AJ66</f>
        <v>0</v>
      </c>
      <c r="AK66" s="309">
        <f>'BS (Bull-Case)'!AK66-'BS (Base-Case)'!AK66</f>
        <v>0</v>
      </c>
      <c r="AL66" s="388">
        <f>'BS (Bull-Case)'!AL66-'BS (Base-Case)'!AL66</f>
        <v>0</v>
      </c>
      <c r="AM66" s="139">
        <f>'BS (Bull-Case)'!AM66-'BS (Base-Case)'!AM66</f>
        <v>0</v>
      </c>
      <c r="AN66" s="139">
        <f>'BS (Bull-Case)'!AN66-'BS (Base-Case)'!AN66</f>
        <v>0</v>
      </c>
      <c r="AO66" s="309">
        <f>'BS (Bull-Case)'!AO66-'BS (Base-Case)'!AO66</f>
        <v>0</v>
      </c>
      <c r="AP66" s="309">
        <f>'BS (Bull-Case)'!AP66-'BS (Base-Case)'!AP66</f>
        <v>0</v>
      </c>
      <c r="AQ66" s="388">
        <f>'BS (Bull-Case)'!AQ66-'BS (Base-Case)'!AQ66</f>
        <v>0</v>
      </c>
      <c r="AR66" s="139">
        <f>'BS (Bull-Case)'!AR66-'BS (Base-Case)'!AR66</f>
        <v>0</v>
      </c>
      <c r="AS66" s="139">
        <f>'BS (Bull-Case)'!AS66-'BS (Base-Case)'!AS66</f>
        <v>0</v>
      </c>
      <c r="AT66" s="309">
        <f>'BS (Bull-Case)'!AT66-'BS (Base-Case)'!AT66</f>
        <v>0</v>
      </c>
      <c r="AU66" s="309">
        <f>'BS (Bull-Case)'!AU66-'BS (Base-Case)'!AU66</f>
        <v>0</v>
      </c>
      <c r="AV66" s="388">
        <f>'BS (Bull-Case)'!AV66-'BS (Base-Case)'!AV66</f>
        <v>0</v>
      </c>
    </row>
    <row r="67" spans="2:48" outlineLevel="1" x14ac:dyDescent="0.3">
      <c r="B67" s="386" t="s">
        <v>327</v>
      </c>
      <c r="C67" s="312"/>
      <c r="D67" s="313">
        <f>'BS (Bull-Case)'!D67-'BS (Base-Case)'!D67</f>
        <v>0</v>
      </c>
      <c r="E67" s="313">
        <f>'BS (Bull-Case)'!E67-'BS (Base-Case)'!E67</f>
        <v>0</v>
      </c>
      <c r="F67" s="314">
        <f>'BS (Bull-Case)'!F67-'BS (Base-Case)'!F67</f>
        <v>0</v>
      </c>
      <c r="G67" s="314">
        <f>'BS (Bull-Case)'!G67-'BS (Base-Case)'!G67</f>
        <v>0</v>
      </c>
      <c r="H67" s="316">
        <f>'BS (Bull-Case)'!H67-'BS (Base-Case)'!H67</f>
        <v>0</v>
      </c>
      <c r="I67" s="313">
        <f>'BS (Bull-Case)'!I67-'BS (Base-Case)'!I67</f>
        <v>0</v>
      </c>
      <c r="J67" s="313">
        <f>'BS (Bull-Case)'!J67-'BS (Base-Case)'!J67</f>
        <v>0</v>
      </c>
      <c r="K67" s="314">
        <f>'BS (Bull-Case)'!K67-'BS (Base-Case)'!K67</f>
        <v>0</v>
      </c>
      <c r="L67" s="314">
        <f>'BS (Bull-Case)'!L67-'BS (Base-Case)'!L67</f>
        <v>0</v>
      </c>
      <c r="M67" s="316">
        <f>'BS (Bull-Case)'!M67-'BS (Base-Case)'!M67</f>
        <v>0</v>
      </c>
      <c r="N67" s="313">
        <f>'BS (Bull-Case)'!N67-'BS (Base-Case)'!N67</f>
        <v>0</v>
      </c>
      <c r="O67" s="313">
        <f>'BS (Bull-Case)'!O67-'BS (Base-Case)'!O67</f>
        <v>0</v>
      </c>
      <c r="P67" s="314">
        <f>'BS (Bull-Case)'!P67-'BS (Base-Case)'!P67</f>
        <v>0</v>
      </c>
      <c r="Q67" s="314">
        <f>'BS (Bull-Case)'!Q67-'BS (Base-Case)'!Q67</f>
        <v>0</v>
      </c>
      <c r="R67" s="316">
        <f>'BS (Bull-Case)'!R67-'BS (Base-Case)'!R67</f>
        <v>0</v>
      </c>
      <c r="S67" s="313">
        <f>'BS (Bull-Case)'!S67-'BS (Base-Case)'!S67</f>
        <v>0</v>
      </c>
      <c r="T67" s="313">
        <f>'BS (Bull-Case)'!T67-'BS (Base-Case)'!T67</f>
        <v>0</v>
      </c>
      <c r="U67" s="314">
        <f>'BS (Bull-Case)'!U67-'BS (Base-Case)'!U67</f>
        <v>0</v>
      </c>
      <c r="V67" s="314">
        <f>'BS (Bull-Case)'!V67-'BS (Base-Case)'!V67</f>
        <v>0</v>
      </c>
      <c r="W67" s="316">
        <f>'BS (Bull-Case)'!W67-'BS (Base-Case)'!W67</f>
        <v>0</v>
      </c>
      <c r="X67" s="313">
        <f>'BS (Bull-Case)'!X67-'BS (Base-Case)'!X67</f>
        <v>0</v>
      </c>
      <c r="Y67" s="313">
        <f>'BS (Bull-Case)'!Y67-'BS (Base-Case)'!Y67</f>
        <v>0</v>
      </c>
      <c r="Z67" s="314">
        <f>'BS (Bull-Case)'!Z67-'BS (Base-Case)'!Z67</f>
        <v>0</v>
      </c>
      <c r="AA67" s="315">
        <f>'BS (Bull-Case)'!AA67-'BS (Base-Case)'!AA67</f>
        <v>0</v>
      </c>
      <c r="AB67" s="316">
        <f>'BS (Bull-Case)'!AB67-'BS (Base-Case)'!AB67</f>
        <v>0</v>
      </c>
      <c r="AC67" s="313">
        <f>'BS (Bull-Case)'!AC67-'BS (Base-Case)'!AC67</f>
        <v>0</v>
      </c>
      <c r="AD67" s="313">
        <f>'BS (Bull-Case)'!AD67-'BS (Base-Case)'!AD67</f>
        <v>0</v>
      </c>
      <c r="AE67" s="314">
        <f>'BS (Bull-Case)'!AE67-'BS (Base-Case)'!AE67</f>
        <v>0</v>
      </c>
      <c r="AF67" s="314">
        <f>'BS (Bull-Case)'!AF67-'BS (Base-Case)'!AF67</f>
        <v>0</v>
      </c>
      <c r="AG67" s="316">
        <f>'BS (Bull-Case)'!AG67-'BS (Base-Case)'!AG67</f>
        <v>0</v>
      </c>
      <c r="AH67" s="313">
        <f>'BS (Bull-Case)'!AH67-'BS (Base-Case)'!AH67</f>
        <v>0</v>
      </c>
      <c r="AI67" s="313">
        <f>'BS (Bull-Case)'!AI67-'BS (Base-Case)'!AI67</f>
        <v>0</v>
      </c>
      <c r="AJ67" s="314">
        <f>'BS (Bull-Case)'!AJ67-'BS (Base-Case)'!AJ67</f>
        <v>0</v>
      </c>
      <c r="AK67" s="314">
        <f>'BS (Bull-Case)'!AK67-'BS (Base-Case)'!AK67</f>
        <v>0</v>
      </c>
      <c r="AL67" s="316">
        <f>'BS (Bull-Case)'!AL67-'BS (Base-Case)'!AL67</f>
        <v>-1466.3660628610342</v>
      </c>
      <c r="AM67" s="313">
        <f>'BS (Bull-Case)'!AM67-'BS (Base-Case)'!AM67</f>
        <v>0</v>
      </c>
      <c r="AN67" s="313">
        <f>'BS (Bull-Case)'!AN67-'BS (Base-Case)'!AN67</f>
        <v>0</v>
      </c>
      <c r="AO67" s="314">
        <f>'BS (Bull-Case)'!AO67-'BS (Base-Case)'!AO67</f>
        <v>0</v>
      </c>
      <c r="AP67" s="314">
        <f>'BS (Bull-Case)'!AP67-'BS (Base-Case)'!AP67</f>
        <v>0</v>
      </c>
      <c r="AQ67" s="316">
        <f>'BS (Bull-Case)'!AQ67-'BS (Base-Case)'!AQ67</f>
        <v>-1466.3660628610342</v>
      </c>
      <c r="AR67" s="313">
        <f>'BS (Bull-Case)'!AR67-'BS (Base-Case)'!AR67</f>
        <v>0</v>
      </c>
      <c r="AS67" s="313">
        <f>'BS (Bull-Case)'!AS67-'BS (Base-Case)'!AS67</f>
        <v>0</v>
      </c>
      <c r="AT67" s="314">
        <f>'BS (Bull-Case)'!AT67-'BS (Base-Case)'!AT67</f>
        <v>0</v>
      </c>
      <c r="AU67" s="314">
        <f>'BS (Bull-Case)'!AU67-'BS (Base-Case)'!AU67</f>
        <v>0</v>
      </c>
      <c r="AV67" s="316">
        <f>'BS (Bull-Case)'!AV67-'BS (Base-Case)'!AV67</f>
        <v>-1466.3660628610342</v>
      </c>
    </row>
  </sheetData>
  <dataConsolidate/>
  <mergeCells count="27">
    <mergeCell ref="B51:C51"/>
    <mergeCell ref="B52:C52"/>
    <mergeCell ref="B53:C53"/>
    <mergeCell ref="B44:C44"/>
    <mergeCell ref="B45:C45"/>
    <mergeCell ref="B47:C47"/>
    <mergeCell ref="B48:C48"/>
    <mergeCell ref="B49:C49"/>
    <mergeCell ref="B50:C50"/>
    <mergeCell ref="B42:C42"/>
    <mergeCell ref="B20:C20"/>
    <mergeCell ref="B21:C21"/>
    <mergeCell ref="B22:C22"/>
    <mergeCell ref="B23:C23"/>
    <mergeCell ref="B34:C34"/>
    <mergeCell ref="B35:C35"/>
    <mergeCell ref="B36:C36"/>
    <mergeCell ref="B37:C37"/>
    <mergeCell ref="B38:C38"/>
    <mergeCell ref="B39:C39"/>
    <mergeCell ref="B41:C41"/>
    <mergeCell ref="B19:C19"/>
    <mergeCell ref="B3:C3"/>
    <mergeCell ref="B5:C5"/>
    <mergeCell ref="B6:C6"/>
    <mergeCell ref="B8:C8"/>
    <mergeCell ref="B10:C10"/>
  </mergeCells>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45B62-9688-40FC-A84E-D1E1B0375CFB}">
  <sheetPr>
    <tabColor theme="2" tint="-9.9978637043366805E-2"/>
    <pageSetUpPr fitToPage="1"/>
  </sheetPr>
  <dimension ref="B1:AV65"/>
  <sheetViews>
    <sheetView showGridLines="0" zoomScaleNormal="100" workbookViewId="0">
      <pane xSplit="3" ySplit="4" topLeftCell="V25" activePane="bottomRight" state="frozen"/>
      <selection activeCell="B24" sqref="B24:C24"/>
      <selection pane="topRight" activeCell="B24" sqref="B24:C24"/>
      <selection pane="bottomLeft" activeCell="B24" sqref="B24:C24"/>
      <selection pane="bottomRight" activeCell="Z11" sqref="Z11"/>
    </sheetView>
  </sheetViews>
  <sheetFormatPr defaultColWidth="8.88671875" defaultRowHeight="14.4" outlineLevelRow="1" outlineLevelCol="1" x14ac:dyDescent="0.3"/>
  <cols>
    <col min="1" max="1" width="2" style="2" customWidth="1"/>
    <col min="2" max="2" width="39" style="2" customWidth="1"/>
    <col min="3" max="3" width="11.77734375" style="2" customWidth="1"/>
    <col min="4" max="5" width="11.5546875" style="1" customWidth="1" outlineLevel="1"/>
    <col min="6" max="7" width="11.5546875" style="3" customWidth="1" outlineLevel="1"/>
    <col min="8" max="8" width="11.5546875" style="3" customWidth="1"/>
    <col min="9" max="10" width="11.5546875" style="1" customWidth="1" outlineLevel="1"/>
    <col min="11" max="12" width="11.5546875" style="3" customWidth="1" outlineLevel="1"/>
    <col min="13" max="13" width="11.5546875" style="3" customWidth="1"/>
    <col min="14" max="15" width="11.5546875" style="1" customWidth="1" outlineLevel="1"/>
    <col min="16" max="17" width="11.5546875" style="3" customWidth="1" outlineLevel="1"/>
    <col min="18" max="18" width="11.5546875" style="3" customWidth="1"/>
    <col min="19" max="20" width="11.5546875" style="1" customWidth="1" outlineLevel="1"/>
    <col min="21" max="22" width="11.5546875" style="3" customWidth="1" outlineLevel="1"/>
    <col min="23" max="23" width="11.5546875" style="3" customWidth="1"/>
    <col min="24" max="25" width="11.5546875" style="1" customWidth="1" outlineLevel="1"/>
    <col min="26" max="27" width="11.5546875" style="3" customWidth="1" outlineLevel="1"/>
    <col min="28" max="28" width="11.5546875" style="3" customWidth="1"/>
    <col min="29" max="30" width="11.5546875" style="1" customWidth="1" outlineLevel="1"/>
    <col min="31" max="32" width="11.5546875" style="3" customWidth="1" outlineLevel="1"/>
    <col min="33" max="33" width="11.5546875" style="3" customWidth="1"/>
    <col min="34" max="35" width="11.5546875" style="1" customWidth="1" outlineLevel="1"/>
    <col min="36" max="37" width="11.5546875" style="3" customWidth="1" outlineLevel="1"/>
    <col min="38" max="38" width="11.5546875" style="3" customWidth="1"/>
    <col min="39" max="40" width="11.5546875" style="1" customWidth="1" outlineLevel="1"/>
    <col min="41" max="42" width="11.5546875" style="3" customWidth="1" outlineLevel="1"/>
    <col min="43" max="43" width="11.5546875" style="3" customWidth="1"/>
    <col min="44" max="45" width="11.5546875" style="1" customWidth="1" outlineLevel="1"/>
    <col min="46" max="47" width="11.5546875" style="3" customWidth="1" outlineLevel="1"/>
    <col min="48" max="48" width="11.5546875" style="3" customWidth="1"/>
    <col min="49" max="16384" width="8.88671875" style="2"/>
  </cols>
  <sheetData>
    <row r="1" spans="2:48" ht="16.2" customHeight="1" x14ac:dyDescent="0.3">
      <c r="B1" s="237" t="s">
        <v>210</v>
      </c>
      <c r="D1" s="45"/>
      <c r="E1" s="149"/>
      <c r="F1" s="149"/>
      <c r="G1" s="149"/>
      <c r="H1" s="149"/>
      <c r="I1" s="216"/>
      <c r="J1" s="380"/>
      <c r="K1" s="380"/>
      <c r="L1" s="380"/>
      <c r="M1" s="380"/>
      <c r="N1" s="380"/>
      <c r="O1" s="380"/>
      <c r="P1" s="380"/>
      <c r="Q1" s="380"/>
      <c r="R1" s="380"/>
      <c r="S1" s="380"/>
      <c r="T1" s="380"/>
      <c r="U1" s="380"/>
      <c r="V1" s="216"/>
      <c r="W1" s="195"/>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row>
    <row r="2" spans="2:48" ht="6.9" customHeight="1" x14ac:dyDescent="0.3">
      <c r="B2" s="99"/>
      <c r="D2" s="45"/>
      <c r="E2" s="149"/>
      <c r="F2" s="149"/>
      <c r="G2" s="149"/>
      <c r="H2" s="149"/>
      <c r="I2" s="216"/>
      <c r="J2" s="381"/>
      <c r="K2" s="381"/>
      <c r="L2" s="381"/>
      <c r="M2" s="381"/>
      <c r="N2" s="381"/>
      <c r="O2" s="381"/>
      <c r="P2" s="381"/>
      <c r="Q2" s="381"/>
      <c r="R2" s="381"/>
      <c r="S2" s="381"/>
      <c r="T2" s="381"/>
      <c r="U2" s="381"/>
      <c r="V2" s="216"/>
      <c r="W2" s="195"/>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row>
    <row r="3" spans="2:48" ht="15.6" x14ac:dyDescent="0.3">
      <c r="B3" s="433" t="s">
        <v>267</v>
      </c>
      <c r="C3" s="434"/>
      <c r="D3" s="13" t="s">
        <v>15</v>
      </c>
      <c r="E3" s="13" t="s">
        <v>82</v>
      </c>
      <c r="F3" s="13" t="s">
        <v>84</v>
      </c>
      <c r="G3" s="13" t="s">
        <v>147</v>
      </c>
      <c r="H3" s="39" t="s">
        <v>147</v>
      </c>
      <c r="I3" s="13" t="s">
        <v>146</v>
      </c>
      <c r="J3" s="13" t="s">
        <v>145</v>
      </c>
      <c r="K3" s="13" t="s">
        <v>144</v>
      </c>
      <c r="L3" s="13" t="s">
        <v>141</v>
      </c>
      <c r="M3" s="39" t="s">
        <v>141</v>
      </c>
      <c r="N3" s="13" t="s">
        <v>148</v>
      </c>
      <c r="O3" s="13" t="s">
        <v>156</v>
      </c>
      <c r="P3" s="13" t="s">
        <v>158</v>
      </c>
      <c r="Q3" s="13" t="s">
        <v>171</v>
      </c>
      <c r="R3" s="39" t="s">
        <v>171</v>
      </c>
      <c r="S3" s="13" t="s">
        <v>187</v>
      </c>
      <c r="T3" s="13" t="s">
        <v>190</v>
      </c>
      <c r="U3" s="13" t="s">
        <v>203</v>
      </c>
      <c r="V3" s="15" t="s">
        <v>20</v>
      </c>
      <c r="W3" s="41" t="s">
        <v>20</v>
      </c>
      <c r="X3" s="15" t="s">
        <v>21</v>
      </c>
      <c r="Y3" s="15" t="s">
        <v>22</v>
      </c>
      <c r="Z3" s="15" t="s">
        <v>23</v>
      </c>
      <c r="AA3" s="15" t="s">
        <v>24</v>
      </c>
      <c r="AB3" s="41" t="s">
        <v>24</v>
      </c>
      <c r="AC3" s="15" t="s">
        <v>86</v>
      </c>
      <c r="AD3" s="15" t="s">
        <v>87</v>
      </c>
      <c r="AE3" s="15" t="s">
        <v>88</v>
      </c>
      <c r="AF3" s="15" t="s">
        <v>89</v>
      </c>
      <c r="AG3" s="41" t="s">
        <v>89</v>
      </c>
      <c r="AH3" s="15" t="s">
        <v>105</v>
      </c>
      <c r="AI3" s="15" t="s">
        <v>106</v>
      </c>
      <c r="AJ3" s="15" t="s">
        <v>107</v>
      </c>
      <c r="AK3" s="15" t="s">
        <v>108</v>
      </c>
      <c r="AL3" s="41" t="s">
        <v>108</v>
      </c>
      <c r="AM3" s="15" t="s">
        <v>160</v>
      </c>
      <c r="AN3" s="15" t="s">
        <v>161</v>
      </c>
      <c r="AO3" s="15" t="s">
        <v>162</v>
      </c>
      <c r="AP3" s="15" t="s">
        <v>163</v>
      </c>
      <c r="AQ3" s="41" t="s">
        <v>163</v>
      </c>
      <c r="AR3" s="15" t="s">
        <v>191</v>
      </c>
      <c r="AS3" s="15" t="s">
        <v>192</v>
      </c>
      <c r="AT3" s="15" t="s">
        <v>193</v>
      </c>
      <c r="AU3" s="15" t="s">
        <v>194</v>
      </c>
      <c r="AV3" s="41" t="s">
        <v>194</v>
      </c>
    </row>
    <row r="4" spans="2:48" ht="16.2" x14ac:dyDescent="0.45">
      <c r="B4" s="251" t="s">
        <v>3</v>
      </c>
      <c r="C4" s="252"/>
      <c r="D4" s="14" t="s">
        <v>19</v>
      </c>
      <c r="E4" s="14" t="s">
        <v>81</v>
      </c>
      <c r="F4" s="14" t="s">
        <v>85</v>
      </c>
      <c r="G4" s="14" t="s">
        <v>95</v>
      </c>
      <c r="H4" s="40" t="s">
        <v>96</v>
      </c>
      <c r="I4" s="14" t="s">
        <v>97</v>
      </c>
      <c r="J4" s="14" t="s">
        <v>98</v>
      </c>
      <c r="K4" s="14" t="s">
        <v>99</v>
      </c>
      <c r="L4" s="14" t="s">
        <v>142</v>
      </c>
      <c r="M4" s="40" t="s">
        <v>143</v>
      </c>
      <c r="N4" s="14" t="s">
        <v>149</v>
      </c>
      <c r="O4" s="14" t="s">
        <v>157</v>
      </c>
      <c r="P4" s="14" t="s">
        <v>159</v>
      </c>
      <c r="Q4" s="14" t="s">
        <v>172</v>
      </c>
      <c r="R4" s="40" t="s">
        <v>173</v>
      </c>
      <c r="S4" s="14" t="s">
        <v>188</v>
      </c>
      <c r="T4" s="14" t="s">
        <v>189</v>
      </c>
      <c r="U4" s="14" t="s">
        <v>204</v>
      </c>
      <c r="V4" s="12" t="s">
        <v>25</v>
      </c>
      <c r="W4" s="42" t="s">
        <v>26</v>
      </c>
      <c r="X4" s="12" t="s">
        <v>27</v>
      </c>
      <c r="Y4" s="12" t="s">
        <v>28</v>
      </c>
      <c r="Z4" s="12" t="s">
        <v>29</v>
      </c>
      <c r="AA4" s="12" t="s">
        <v>30</v>
      </c>
      <c r="AB4" s="42" t="s">
        <v>31</v>
      </c>
      <c r="AC4" s="12" t="s">
        <v>90</v>
      </c>
      <c r="AD4" s="12" t="s">
        <v>91</v>
      </c>
      <c r="AE4" s="12" t="s">
        <v>92</v>
      </c>
      <c r="AF4" s="12" t="s">
        <v>93</v>
      </c>
      <c r="AG4" s="42" t="s">
        <v>94</v>
      </c>
      <c r="AH4" s="12" t="s">
        <v>109</v>
      </c>
      <c r="AI4" s="12" t="s">
        <v>110</v>
      </c>
      <c r="AJ4" s="12" t="s">
        <v>111</v>
      </c>
      <c r="AK4" s="12" t="s">
        <v>112</v>
      </c>
      <c r="AL4" s="42" t="s">
        <v>113</v>
      </c>
      <c r="AM4" s="12" t="s">
        <v>164</v>
      </c>
      <c r="AN4" s="12" t="s">
        <v>165</v>
      </c>
      <c r="AO4" s="12" t="s">
        <v>166</v>
      </c>
      <c r="AP4" s="12" t="s">
        <v>167</v>
      </c>
      <c r="AQ4" s="42" t="s">
        <v>168</v>
      </c>
      <c r="AR4" s="12" t="s">
        <v>195</v>
      </c>
      <c r="AS4" s="12" t="s">
        <v>196</v>
      </c>
      <c r="AT4" s="12" t="s">
        <v>197</v>
      </c>
      <c r="AU4" s="12" t="s">
        <v>198</v>
      </c>
      <c r="AV4" s="42" t="s">
        <v>199</v>
      </c>
    </row>
    <row r="5" spans="2:48" outlineLevel="1" x14ac:dyDescent="0.3">
      <c r="B5" s="457" t="s">
        <v>268</v>
      </c>
      <c r="C5" s="458"/>
      <c r="D5" s="4"/>
      <c r="E5" s="4"/>
      <c r="F5" s="4"/>
      <c r="G5" s="4"/>
      <c r="H5" s="317"/>
      <c r="I5" s="4"/>
      <c r="J5" s="4"/>
      <c r="K5" s="318"/>
      <c r="L5" s="4"/>
      <c r="M5" s="317"/>
      <c r="N5" s="4"/>
      <c r="O5" s="4"/>
      <c r="P5" s="4"/>
      <c r="Q5" s="4"/>
      <c r="R5" s="317"/>
      <c r="S5" s="4"/>
      <c r="T5" s="4"/>
      <c r="U5" s="4"/>
      <c r="V5" s="4"/>
      <c r="W5" s="317"/>
      <c r="X5" s="4"/>
      <c r="Y5" s="4"/>
      <c r="Z5" s="4"/>
      <c r="AA5" s="4"/>
      <c r="AB5" s="317"/>
      <c r="AC5" s="4"/>
      <c r="AD5" s="4"/>
      <c r="AE5" s="4"/>
      <c r="AF5" s="4"/>
      <c r="AG5" s="317"/>
      <c r="AH5" s="4"/>
      <c r="AI5" s="4"/>
      <c r="AJ5" s="4"/>
      <c r="AK5" s="4"/>
      <c r="AL5" s="317"/>
      <c r="AM5" s="4"/>
      <c r="AN5" s="4"/>
      <c r="AO5" s="4"/>
      <c r="AP5" s="4"/>
      <c r="AQ5" s="317"/>
      <c r="AR5" s="4"/>
      <c r="AS5" s="4"/>
      <c r="AT5" s="4"/>
      <c r="AU5" s="4"/>
      <c r="AV5" s="317"/>
    </row>
    <row r="6" spans="2:48" outlineLevel="1" x14ac:dyDescent="0.3">
      <c r="B6" s="308" t="s">
        <v>269</v>
      </c>
      <c r="C6" s="44"/>
      <c r="D6" s="16">
        <f>'CFS (Bull-Case)'!D6-'CFS (Base-Case)'!D6</f>
        <v>0</v>
      </c>
      <c r="E6" s="101">
        <f>'CFS (Bull-Case)'!E6-'CFS (Base-Case)'!E6</f>
        <v>0</v>
      </c>
      <c r="F6" s="16">
        <f>'CFS (Bull-Case)'!F6-'CFS (Base-Case)'!F6</f>
        <v>0</v>
      </c>
      <c r="G6" s="16">
        <f>'CFS (Bull-Case)'!G6-'CFS (Base-Case)'!G6</f>
        <v>0</v>
      </c>
      <c r="H6" s="17">
        <f>'CFS (Bull-Case)'!H6-'CFS (Base-Case)'!H6</f>
        <v>0</v>
      </c>
      <c r="I6" s="16">
        <f>'CFS (Bull-Case)'!I6-'CFS (Base-Case)'!I6</f>
        <v>0</v>
      </c>
      <c r="J6" s="16">
        <f>'CFS (Bull-Case)'!J6-'CFS (Base-Case)'!J6</f>
        <v>0</v>
      </c>
      <c r="K6" s="16">
        <f>'CFS (Bull-Case)'!K6-'CFS (Base-Case)'!K6</f>
        <v>0</v>
      </c>
      <c r="L6" s="16">
        <f>'CFS (Bull-Case)'!L6-'CFS (Base-Case)'!L6</f>
        <v>0</v>
      </c>
      <c r="M6" s="17">
        <f>'CFS (Bull-Case)'!M6-'CFS (Base-Case)'!M6</f>
        <v>0</v>
      </c>
      <c r="N6" s="16">
        <f>'CFS (Bull-Case)'!N6-'CFS (Base-Case)'!N6</f>
        <v>0</v>
      </c>
      <c r="O6" s="16">
        <f>'CFS (Bull-Case)'!O6-'CFS (Base-Case)'!O6</f>
        <v>0</v>
      </c>
      <c r="P6" s="16">
        <f>'CFS (Bull-Case)'!P6-'CFS (Base-Case)'!P6</f>
        <v>0</v>
      </c>
      <c r="Q6" s="16">
        <f>'CFS (Bull-Case)'!Q6-'CFS (Base-Case)'!Q6</f>
        <v>0</v>
      </c>
      <c r="R6" s="17">
        <f>'CFS (Bull-Case)'!R6-'CFS (Base-Case)'!R6</f>
        <v>0</v>
      </c>
      <c r="S6" s="16">
        <f>'CFS (Bull-Case)'!S6-'CFS (Base-Case)'!S6</f>
        <v>0</v>
      </c>
      <c r="T6" s="16">
        <f>'CFS (Bull-Case)'!T6-'CFS (Base-Case)'!T6</f>
        <v>0</v>
      </c>
      <c r="U6" s="16">
        <f>'CFS (Bull-Case)'!U6-'CFS (Base-Case)'!U6</f>
        <v>0</v>
      </c>
      <c r="V6" s="16">
        <f>'CFS (Bull-Case)'!V6-'CFS (Base-Case)'!V6</f>
        <v>0</v>
      </c>
      <c r="W6" s="17">
        <f>'CFS (Bull-Case)'!W6-'CFS (Base-Case)'!W6</f>
        <v>0</v>
      </c>
      <c r="X6" s="16">
        <f>'CFS (Bull-Case)'!X6-'CFS (Base-Case)'!X6</f>
        <v>13.816893220529209</v>
      </c>
      <c r="Y6" s="16">
        <f>'CFS (Bull-Case)'!Y6-'CFS (Base-Case)'!Y6</f>
        <v>12.747147318381849</v>
      </c>
      <c r="Z6" s="16">
        <f>'CFS (Bull-Case)'!Z6-'CFS (Base-Case)'!Z6</f>
        <v>17.084126042816024</v>
      </c>
      <c r="AA6" s="16">
        <f>'CFS (Bull-Case)'!AA6-'CFS (Base-Case)'!AA6</f>
        <v>16.725751521219763</v>
      </c>
      <c r="AB6" s="17">
        <f>'CFS (Bull-Case)'!AB6-'CFS (Base-Case)'!AB6</f>
        <v>60.373918102946845</v>
      </c>
      <c r="AC6" s="16">
        <f>'CFS (Bull-Case)'!AC6-'CFS (Base-Case)'!AC6</f>
        <v>44.0806875104131</v>
      </c>
      <c r="AD6" s="16">
        <f>'CFS (Bull-Case)'!AD6-'CFS (Base-Case)'!AD6</f>
        <v>38.258806407616134</v>
      </c>
      <c r="AE6" s="16">
        <f>'CFS (Bull-Case)'!AE6-'CFS (Base-Case)'!AE6</f>
        <v>48.653869472136194</v>
      </c>
      <c r="AF6" s="16">
        <f>'CFS (Bull-Case)'!AF6-'CFS (Base-Case)'!AF6</f>
        <v>44.722997992867931</v>
      </c>
      <c r="AG6" s="17">
        <f>'CFS (Bull-Case)'!AG6-'CFS (Base-Case)'!AG6</f>
        <v>175.71636138303438</v>
      </c>
      <c r="AH6" s="16">
        <f>'CFS (Bull-Case)'!AH6-'CFS (Base-Case)'!AH6</f>
        <v>80.739369910743108</v>
      </c>
      <c r="AI6" s="16">
        <f>'CFS (Bull-Case)'!AI6-'CFS (Base-Case)'!AI6</f>
        <v>70.944519972435046</v>
      </c>
      <c r="AJ6" s="16">
        <f>'CFS (Bull-Case)'!AJ6-'CFS (Base-Case)'!AJ6</f>
        <v>88.659932814213107</v>
      </c>
      <c r="AK6" s="16">
        <f>'CFS (Bull-Case)'!AK6-'CFS (Base-Case)'!AK6</f>
        <v>92.206374619366898</v>
      </c>
      <c r="AL6" s="17">
        <f>'CFS (Bull-Case)'!AL6-'CFS (Base-Case)'!AL6</f>
        <v>332.55019731675839</v>
      </c>
      <c r="AM6" s="16">
        <f>'CFS (Bull-Case)'!AM6-'CFS (Base-Case)'!AM6</f>
        <v>108.71916349528328</v>
      </c>
      <c r="AN6" s="16">
        <f>'CFS (Bull-Case)'!AN6-'CFS (Base-Case)'!AN6</f>
        <v>98.04594534296848</v>
      </c>
      <c r="AO6" s="16">
        <f>'CFS (Bull-Case)'!AO6-'CFS (Base-Case)'!AO6</f>
        <v>117.08933119473022</v>
      </c>
      <c r="AP6" s="16">
        <f>'CFS (Bull-Case)'!AP6-'CFS (Base-Case)'!AP6</f>
        <v>109.78053603874241</v>
      </c>
      <c r="AQ6" s="17">
        <f>'CFS (Bull-Case)'!AQ6-'CFS (Base-Case)'!AQ6</f>
        <v>433.63497607172394</v>
      </c>
      <c r="AR6" s="16">
        <f>'CFS (Bull-Case)'!AR6-'CFS (Base-Case)'!AR6</f>
        <v>115.83817593768617</v>
      </c>
      <c r="AS6" s="16">
        <f>'CFS (Bull-Case)'!AS6-'CFS (Base-Case)'!AS6</f>
        <v>104.36859127536468</v>
      </c>
      <c r="AT6" s="16">
        <f>'CFS (Bull-Case)'!AT6-'CFS (Base-Case)'!AT6</f>
        <v>124.52137957719196</v>
      </c>
      <c r="AU6" s="16">
        <f>'CFS (Bull-Case)'!AU6-'CFS (Base-Case)'!AU6</f>
        <v>116.70070893459229</v>
      </c>
      <c r="AV6" s="17">
        <f>'CFS (Bull-Case)'!AV6-'CFS (Base-Case)'!AV6</f>
        <v>461.42885572483556</v>
      </c>
    </row>
    <row r="7" spans="2:48" outlineLevel="1" x14ac:dyDescent="0.3">
      <c r="B7" s="308" t="s">
        <v>270</v>
      </c>
      <c r="C7" s="44"/>
      <c r="D7" s="16">
        <f>'CFS (Bull-Case)'!D7-'CFS (Base-Case)'!D7</f>
        <v>0</v>
      </c>
      <c r="E7" s="16">
        <f>'CFS (Bull-Case)'!E7-'CFS (Base-Case)'!E7</f>
        <v>0</v>
      </c>
      <c r="F7" s="16">
        <f>'CFS (Bull-Case)'!F7-'CFS (Base-Case)'!F7</f>
        <v>0</v>
      </c>
      <c r="G7" s="16">
        <f>'CFS (Bull-Case)'!G7-'CFS (Base-Case)'!G7</f>
        <v>0</v>
      </c>
      <c r="H7" s="17">
        <f>'CFS (Bull-Case)'!H7-'CFS (Base-Case)'!H7</f>
        <v>0</v>
      </c>
      <c r="I7" s="16">
        <f>'CFS (Bull-Case)'!I7-'CFS (Base-Case)'!I7</f>
        <v>0</v>
      </c>
      <c r="J7" s="16">
        <f>'CFS (Bull-Case)'!J7-'CFS (Base-Case)'!J7</f>
        <v>0</v>
      </c>
      <c r="K7" s="16">
        <f>'CFS (Bull-Case)'!K7-'CFS (Base-Case)'!K7</f>
        <v>0</v>
      </c>
      <c r="L7" s="16">
        <f>'CFS (Bull-Case)'!L7-'CFS (Base-Case)'!L7</f>
        <v>0</v>
      </c>
      <c r="M7" s="17">
        <f>'CFS (Bull-Case)'!M7-'CFS (Base-Case)'!M7</f>
        <v>0</v>
      </c>
      <c r="N7" s="16">
        <f>'CFS (Bull-Case)'!N7-'CFS (Base-Case)'!N7</f>
        <v>0</v>
      </c>
      <c r="O7" s="16">
        <f>'CFS (Bull-Case)'!O7-'CFS (Base-Case)'!O7</f>
        <v>0</v>
      </c>
      <c r="P7" s="16">
        <f>'CFS (Bull-Case)'!P7-'CFS (Base-Case)'!P7</f>
        <v>0</v>
      </c>
      <c r="Q7" s="16">
        <f>'CFS (Bull-Case)'!Q7-'CFS (Base-Case)'!Q7</f>
        <v>0</v>
      </c>
      <c r="R7" s="17">
        <f>'CFS (Bull-Case)'!R7-'CFS (Base-Case)'!R7</f>
        <v>0</v>
      </c>
      <c r="S7" s="16">
        <f>'CFS (Bull-Case)'!S7-'CFS (Base-Case)'!S7</f>
        <v>0</v>
      </c>
      <c r="T7" s="16">
        <f>'CFS (Bull-Case)'!T7-'CFS (Base-Case)'!T7</f>
        <v>0</v>
      </c>
      <c r="U7" s="16">
        <f>'CFS (Bull-Case)'!U7-'CFS (Base-Case)'!U7</f>
        <v>0</v>
      </c>
      <c r="V7" s="16">
        <f>'CFS (Bull-Case)'!V7-'CFS (Base-Case)'!V7</f>
        <v>0</v>
      </c>
      <c r="W7" s="17">
        <f>'CFS (Bull-Case)'!W7-'CFS (Base-Case)'!W7</f>
        <v>0</v>
      </c>
      <c r="X7" s="16">
        <f>'CFS (Bull-Case)'!X7-'CFS (Base-Case)'!X7</f>
        <v>0</v>
      </c>
      <c r="Y7" s="16">
        <f>'CFS (Bull-Case)'!Y7-'CFS (Base-Case)'!Y7</f>
        <v>6.6454520575689457E-3</v>
      </c>
      <c r="Z7" s="16">
        <f>'CFS (Bull-Case)'!Z7-'CFS (Base-Case)'!Z7</f>
        <v>5.9212985367480542E-3</v>
      </c>
      <c r="AA7" s="16">
        <f>'CFS (Bull-Case)'!AA7-'CFS (Base-Case)'!AA7</f>
        <v>1.1841248313260166E-2</v>
      </c>
      <c r="AB7" s="17">
        <f>'CFS (Bull-Case)'!AB7-'CFS (Base-Case)'!AB7</f>
        <v>2.440799890746348E-2</v>
      </c>
      <c r="AC7" s="16">
        <f>'CFS (Bull-Case)'!AC7-'CFS (Base-Case)'!AC7</f>
        <v>-1.4822235032738718E-3</v>
      </c>
      <c r="AD7" s="16">
        <f>'CFS (Bull-Case)'!AD7-'CFS (Base-Case)'!AD7</f>
        <v>1.4575149309052904E-3</v>
      </c>
      <c r="AE7" s="16">
        <f>'CFS (Bull-Case)'!AE7-'CFS (Base-Case)'!AE7</f>
        <v>1.0008702176776296E-2</v>
      </c>
      <c r="AF7" s="16">
        <f>'CFS (Bull-Case)'!AF7-'CFS (Base-Case)'!AF7</f>
        <v>2.2928747506455238E-2</v>
      </c>
      <c r="AG7" s="17">
        <f>'CFS (Bull-Case)'!AG7-'CFS (Base-Case)'!AG7</f>
        <v>3.291274111097664E-2</v>
      </c>
      <c r="AH7" s="16">
        <f>'CFS (Bull-Case)'!AH7-'CFS (Base-Case)'!AH7</f>
        <v>-3.4808811925017835E-3</v>
      </c>
      <c r="AI7" s="16">
        <f>'CFS (Bull-Case)'!AI7-'CFS (Base-Case)'!AI7</f>
        <v>1.4486695658888493E-3</v>
      </c>
      <c r="AJ7" s="16">
        <f>'CFS (Bull-Case)'!AJ7-'CFS (Base-Case)'!AJ7</f>
        <v>1.6824386642156242E-2</v>
      </c>
      <c r="AK7" s="16">
        <f>'CFS (Bull-Case)'!AK7-'CFS (Base-Case)'!AK7</f>
        <v>3.4848652167283944E-2</v>
      </c>
      <c r="AL7" s="17">
        <f>'CFS (Bull-Case)'!AL7-'CFS (Base-Case)'!AL7</f>
        <v>4.9640827182884095E-2</v>
      </c>
      <c r="AM7" s="16">
        <f>'CFS (Bull-Case)'!AM7-'CFS (Base-Case)'!AM7</f>
        <v>-6.4953179800113503E-3</v>
      </c>
      <c r="AN7" s="16">
        <f>'CFS (Bull-Case)'!AN7-'CFS (Base-Case)'!AN7</f>
        <v>-1.8273954073265486E-2</v>
      </c>
      <c r="AO7" s="16">
        <f>'CFS (Bull-Case)'!AO7-'CFS (Base-Case)'!AO7</f>
        <v>-1.0794740110213752E-2</v>
      </c>
      <c r="AP7" s="16">
        <f>'CFS (Bull-Case)'!AP7-'CFS (Base-Case)'!AP7</f>
        <v>3.6543446537962154E-3</v>
      </c>
      <c r="AQ7" s="17">
        <f>'CFS (Bull-Case)'!AQ7-'CFS (Base-Case)'!AQ7</f>
        <v>-3.190966750980806E-2</v>
      </c>
      <c r="AR7" s="16">
        <f>'CFS (Bull-Case)'!AR7-'CFS (Base-Case)'!AR7</f>
        <v>-4.2321994387066297E-2</v>
      </c>
      <c r="AS7" s="16">
        <f>'CFS (Bull-Case)'!AS7-'CFS (Base-Case)'!AS7</f>
        <v>-5.4417055677049575E-2</v>
      </c>
      <c r="AT7" s="16">
        <f>'CFS (Bull-Case)'!AT7-'CFS (Base-Case)'!AT7</f>
        <v>-4.5439151558184676E-2</v>
      </c>
      <c r="AU7" s="16">
        <f>'CFS (Bull-Case)'!AU7-'CFS (Base-Case)'!AU7</f>
        <v>-2.9156081896303476E-2</v>
      </c>
      <c r="AV7" s="17">
        <f>'CFS (Bull-Case)'!AV7-'CFS (Base-Case)'!AV7</f>
        <v>-0.17133428351871771</v>
      </c>
    </row>
    <row r="8" spans="2:48" outlineLevel="1" x14ac:dyDescent="0.3">
      <c r="B8" s="308" t="s">
        <v>223</v>
      </c>
      <c r="C8" s="44"/>
      <c r="D8" s="16">
        <f>'CFS (Bull-Case)'!D8-'CFS (Base-Case)'!D8</f>
        <v>0</v>
      </c>
      <c r="E8" s="16">
        <f>'CFS (Bull-Case)'!E8-'CFS (Base-Case)'!E8</f>
        <v>0</v>
      </c>
      <c r="F8" s="16">
        <f>'CFS (Bull-Case)'!F8-'CFS (Base-Case)'!F8</f>
        <v>0</v>
      </c>
      <c r="G8" s="101">
        <f>'CFS (Bull-Case)'!G8-'CFS (Base-Case)'!G8</f>
        <v>0</v>
      </c>
      <c r="H8" s="17">
        <f>'CFS (Bull-Case)'!H8-'CFS (Base-Case)'!H8</f>
        <v>0</v>
      </c>
      <c r="I8" s="16">
        <f>'CFS (Bull-Case)'!I8-'CFS (Base-Case)'!I8</f>
        <v>0</v>
      </c>
      <c r="J8" s="16">
        <f>'CFS (Bull-Case)'!J8-'CFS (Base-Case)'!J8</f>
        <v>0</v>
      </c>
      <c r="K8" s="16">
        <f>'CFS (Bull-Case)'!K8-'CFS (Base-Case)'!K8</f>
        <v>0</v>
      </c>
      <c r="L8" s="101">
        <f>'CFS (Bull-Case)'!L8-'CFS (Base-Case)'!L8</f>
        <v>0</v>
      </c>
      <c r="M8" s="17">
        <f>'CFS (Bull-Case)'!M8-'CFS (Base-Case)'!M8</f>
        <v>0</v>
      </c>
      <c r="N8" s="16">
        <f>'CFS (Bull-Case)'!N8-'CFS (Base-Case)'!N8</f>
        <v>0</v>
      </c>
      <c r="O8" s="16">
        <f>'CFS (Bull-Case)'!O8-'CFS (Base-Case)'!O8</f>
        <v>0</v>
      </c>
      <c r="P8" s="16">
        <f>'CFS (Bull-Case)'!P8-'CFS (Base-Case)'!P8</f>
        <v>0</v>
      </c>
      <c r="Q8" s="101">
        <f>'CFS (Bull-Case)'!Q8-'CFS (Base-Case)'!Q8</f>
        <v>0</v>
      </c>
      <c r="R8" s="17">
        <f>'CFS (Bull-Case)'!R8-'CFS (Base-Case)'!R8</f>
        <v>0</v>
      </c>
      <c r="S8" s="16">
        <f>'CFS (Bull-Case)'!S8-'CFS (Base-Case)'!S8</f>
        <v>0</v>
      </c>
      <c r="T8" s="16">
        <f>'CFS (Bull-Case)'!T8-'CFS (Base-Case)'!T8</f>
        <v>0</v>
      </c>
      <c r="U8" s="16">
        <f>'CFS (Bull-Case)'!U8-'CFS (Base-Case)'!U8</f>
        <v>0</v>
      </c>
      <c r="V8" s="16">
        <f>'CFS (Bull-Case)'!V8-'CFS (Base-Case)'!V8</f>
        <v>0</v>
      </c>
      <c r="W8" s="17">
        <f>'CFS (Bull-Case)'!W8-'CFS (Base-Case)'!W8</f>
        <v>0</v>
      </c>
      <c r="X8" s="16">
        <f>'CFS (Bull-Case)'!X8-'CFS (Base-Case)'!X8</f>
        <v>0</v>
      </c>
      <c r="Y8" s="16">
        <f>'CFS (Bull-Case)'!Y8-'CFS (Base-Case)'!Y8</f>
        <v>0</v>
      </c>
      <c r="Z8" s="16">
        <f>'CFS (Bull-Case)'!Z8-'CFS (Base-Case)'!Z8</f>
        <v>0</v>
      </c>
      <c r="AA8" s="16">
        <f>'CFS (Bull-Case)'!AA8-'CFS (Base-Case)'!AA8</f>
        <v>0</v>
      </c>
      <c r="AB8" s="17">
        <f>'CFS (Bull-Case)'!AB8-'CFS (Base-Case)'!AB8</f>
        <v>0</v>
      </c>
      <c r="AC8" s="16">
        <f>'CFS (Bull-Case)'!AC8-'CFS (Base-Case)'!AC8</f>
        <v>0</v>
      </c>
      <c r="AD8" s="16">
        <f>'CFS (Bull-Case)'!AD8-'CFS (Base-Case)'!AD8</f>
        <v>0</v>
      </c>
      <c r="AE8" s="16">
        <f>'CFS (Bull-Case)'!AE8-'CFS (Base-Case)'!AE8</f>
        <v>0</v>
      </c>
      <c r="AF8" s="16">
        <f>'CFS (Bull-Case)'!AF8-'CFS (Base-Case)'!AF8</f>
        <v>0</v>
      </c>
      <c r="AG8" s="17">
        <f>'CFS (Bull-Case)'!AG8-'CFS (Base-Case)'!AG8</f>
        <v>0</v>
      </c>
      <c r="AH8" s="16">
        <f>'CFS (Bull-Case)'!AH8-'CFS (Base-Case)'!AH8</f>
        <v>0</v>
      </c>
      <c r="AI8" s="16">
        <f>'CFS (Bull-Case)'!AI8-'CFS (Base-Case)'!AI8</f>
        <v>0</v>
      </c>
      <c r="AJ8" s="16">
        <f>'CFS (Bull-Case)'!AJ8-'CFS (Base-Case)'!AJ8</f>
        <v>0</v>
      </c>
      <c r="AK8" s="16">
        <f>'CFS (Bull-Case)'!AK8-'CFS (Base-Case)'!AK8</f>
        <v>0</v>
      </c>
      <c r="AL8" s="17">
        <f>'CFS (Bull-Case)'!AL8-'CFS (Base-Case)'!AL8</f>
        <v>0</v>
      </c>
      <c r="AM8" s="16">
        <f>'CFS (Bull-Case)'!AM8-'CFS (Base-Case)'!AM8</f>
        <v>0</v>
      </c>
      <c r="AN8" s="16">
        <f>'CFS (Bull-Case)'!AN8-'CFS (Base-Case)'!AN8</f>
        <v>0</v>
      </c>
      <c r="AO8" s="16">
        <f>'CFS (Bull-Case)'!AO8-'CFS (Base-Case)'!AO8</f>
        <v>0</v>
      </c>
      <c r="AP8" s="16">
        <f>'CFS (Bull-Case)'!AP8-'CFS (Base-Case)'!AP8</f>
        <v>0</v>
      </c>
      <c r="AQ8" s="17">
        <f>'CFS (Bull-Case)'!AQ8-'CFS (Base-Case)'!AQ8</f>
        <v>0</v>
      </c>
      <c r="AR8" s="16">
        <f>'CFS (Bull-Case)'!AR8-'CFS (Base-Case)'!AR8</f>
        <v>0</v>
      </c>
      <c r="AS8" s="16">
        <f>'CFS (Bull-Case)'!AS8-'CFS (Base-Case)'!AS8</f>
        <v>0</v>
      </c>
      <c r="AT8" s="16">
        <f>'CFS (Bull-Case)'!AT8-'CFS (Base-Case)'!AT8</f>
        <v>0</v>
      </c>
      <c r="AU8" s="16">
        <f>'CFS (Bull-Case)'!AU8-'CFS (Base-Case)'!AU8</f>
        <v>0</v>
      </c>
      <c r="AV8" s="17">
        <f>'CFS (Bull-Case)'!AV8-'CFS (Base-Case)'!AV8</f>
        <v>0</v>
      </c>
    </row>
    <row r="9" spans="2:48" outlineLevel="1" x14ac:dyDescent="0.3">
      <c r="B9" s="308" t="s">
        <v>271</v>
      </c>
      <c r="C9" s="44"/>
      <c r="D9" s="16">
        <f>'CFS (Bull-Case)'!D9-'CFS (Base-Case)'!D9</f>
        <v>0</v>
      </c>
      <c r="E9" s="16">
        <f>'CFS (Bull-Case)'!E9-'CFS (Base-Case)'!E9</f>
        <v>0</v>
      </c>
      <c r="F9" s="16">
        <f>'CFS (Bull-Case)'!F9-'CFS (Base-Case)'!F9</f>
        <v>0</v>
      </c>
      <c r="G9" s="101">
        <f>'CFS (Bull-Case)'!G9-'CFS (Base-Case)'!G9</f>
        <v>0</v>
      </c>
      <c r="H9" s="17">
        <f>'CFS (Bull-Case)'!H9-'CFS (Base-Case)'!H9</f>
        <v>0</v>
      </c>
      <c r="I9" s="16">
        <f>'CFS (Bull-Case)'!I9-'CFS (Base-Case)'!I9</f>
        <v>0</v>
      </c>
      <c r="J9" s="16">
        <f>'CFS (Bull-Case)'!J9-'CFS (Base-Case)'!J9</f>
        <v>0</v>
      </c>
      <c r="K9" s="16">
        <f>'CFS (Bull-Case)'!K9-'CFS (Base-Case)'!K9</f>
        <v>0</v>
      </c>
      <c r="L9" s="101">
        <f>'CFS (Bull-Case)'!L9-'CFS (Base-Case)'!L9</f>
        <v>0</v>
      </c>
      <c r="M9" s="17">
        <f>'CFS (Bull-Case)'!M9-'CFS (Base-Case)'!M9</f>
        <v>0</v>
      </c>
      <c r="N9" s="16">
        <f>'CFS (Bull-Case)'!N9-'CFS (Base-Case)'!N9</f>
        <v>0</v>
      </c>
      <c r="O9" s="16">
        <f>'CFS (Bull-Case)'!O9-'CFS (Base-Case)'!O9</f>
        <v>0</v>
      </c>
      <c r="P9" s="16">
        <f>'CFS (Bull-Case)'!P9-'CFS (Base-Case)'!P9</f>
        <v>0</v>
      </c>
      <c r="Q9" s="101">
        <f>'CFS (Bull-Case)'!Q9-'CFS (Base-Case)'!Q9</f>
        <v>0</v>
      </c>
      <c r="R9" s="17">
        <f>'CFS (Bull-Case)'!R9-'CFS (Base-Case)'!R9</f>
        <v>0</v>
      </c>
      <c r="S9" s="16">
        <f>'CFS (Bull-Case)'!S9-'CFS (Base-Case)'!S9</f>
        <v>0</v>
      </c>
      <c r="T9" s="16">
        <f>'CFS (Bull-Case)'!T9-'CFS (Base-Case)'!T9</f>
        <v>0</v>
      </c>
      <c r="U9" s="16">
        <f>'CFS (Bull-Case)'!U9-'CFS (Base-Case)'!U9</f>
        <v>0</v>
      </c>
      <c r="V9" s="16">
        <f>'CFS (Bull-Case)'!V9-'CFS (Base-Case)'!V9</f>
        <v>0</v>
      </c>
      <c r="W9" s="17">
        <f>'CFS (Bull-Case)'!W9-'CFS (Base-Case)'!W9</f>
        <v>0</v>
      </c>
      <c r="X9" s="16">
        <f>'CFS (Bull-Case)'!X9-'CFS (Base-Case)'!X9</f>
        <v>0</v>
      </c>
      <c r="Y9" s="16">
        <f>'CFS (Bull-Case)'!Y9-'CFS (Base-Case)'!Y9</f>
        <v>0</v>
      </c>
      <c r="Z9" s="16">
        <f>'CFS (Bull-Case)'!Z9-'CFS (Base-Case)'!Z9</f>
        <v>0</v>
      </c>
      <c r="AA9" s="16">
        <f>'CFS (Bull-Case)'!AA9-'CFS (Base-Case)'!AA9</f>
        <v>0</v>
      </c>
      <c r="AB9" s="17">
        <f>'CFS (Bull-Case)'!AB9-'CFS (Base-Case)'!AB9</f>
        <v>0</v>
      </c>
      <c r="AC9" s="16">
        <f>'CFS (Bull-Case)'!AC9-'CFS (Base-Case)'!AC9</f>
        <v>0</v>
      </c>
      <c r="AD9" s="16">
        <f>'CFS (Bull-Case)'!AD9-'CFS (Base-Case)'!AD9</f>
        <v>0</v>
      </c>
      <c r="AE9" s="16">
        <f>'CFS (Bull-Case)'!AE9-'CFS (Base-Case)'!AE9</f>
        <v>0</v>
      </c>
      <c r="AF9" s="16">
        <f>'CFS (Bull-Case)'!AF9-'CFS (Base-Case)'!AF9</f>
        <v>0</v>
      </c>
      <c r="AG9" s="17">
        <f>'CFS (Bull-Case)'!AG9-'CFS (Base-Case)'!AG9</f>
        <v>0</v>
      </c>
      <c r="AH9" s="16">
        <f>'CFS (Bull-Case)'!AH9-'CFS (Base-Case)'!AH9</f>
        <v>0</v>
      </c>
      <c r="AI9" s="16">
        <f>'CFS (Bull-Case)'!AI9-'CFS (Base-Case)'!AI9</f>
        <v>0</v>
      </c>
      <c r="AJ9" s="16">
        <f>'CFS (Bull-Case)'!AJ9-'CFS (Base-Case)'!AJ9</f>
        <v>0</v>
      </c>
      <c r="AK9" s="16">
        <f>'CFS (Bull-Case)'!AK9-'CFS (Base-Case)'!AK9</f>
        <v>0</v>
      </c>
      <c r="AL9" s="17">
        <f>'CFS (Bull-Case)'!AL9-'CFS (Base-Case)'!AL9</f>
        <v>0</v>
      </c>
      <c r="AM9" s="16">
        <f>'CFS (Bull-Case)'!AM9-'CFS (Base-Case)'!AM9</f>
        <v>0</v>
      </c>
      <c r="AN9" s="16">
        <f>'CFS (Bull-Case)'!AN9-'CFS (Base-Case)'!AN9</f>
        <v>0</v>
      </c>
      <c r="AO9" s="16">
        <f>'CFS (Bull-Case)'!AO9-'CFS (Base-Case)'!AO9</f>
        <v>0</v>
      </c>
      <c r="AP9" s="16">
        <f>'CFS (Bull-Case)'!AP9-'CFS (Base-Case)'!AP9</f>
        <v>0</v>
      </c>
      <c r="AQ9" s="17">
        <f>'CFS (Bull-Case)'!AQ9-'CFS (Base-Case)'!AQ9</f>
        <v>0</v>
      </c>
      <c r="AR9" s="16">
        <f>'CFS (Bull-Case)'!AR9-'CFS (Base-Case)'!AR9</f>
        <v>0</v>
      </c>
      <c r="AS9" s="16">
        <f>'CFS (Bull-Case)'!AS9-'CFS (Base-Case)'!AS9</f>
        <v>0</v>
      </c>
      <c r="AT9" s="16">
        <f>'CFS (Bull-Case)'!AT9-'CFS (Base-Case)'!AT9</f>
        <v>0</v>
      </c>
      <c r="AU9" s="16">
        <f>'CFS (Bull-Case)'!AU9-'CFS (Base-Case)'!AU9</f>
        <v>0</v>
      </c>
      <c r="AV9" s="17">
        <f>'CFS (Bull-Case)'!AV9-'CFS (Base-Case)'!AV9</f>
        <v>0</v>
      </c>
    </row>
    <row r="10" spans="2:48" outlineLevel="1" x14ac:dyDescent="0.3">
      <c r="B10" s="308" t="s">
        <v>272</v>
      </c>
      <c r="C10" s="44"/>
      <c r="D10" s="16">
        <f>'CFS (Bull-Case)'!D10-'CFS (Base-Case)'!D10</f>
        <v>0</v>
      </c>
      <c r="E10" s="16">
        <f>'CFS (Bull-Case)'!E10-'CFS (Base-Case)'!E10</f>
        <v>0</v>
      </c>
      <c r="F10" s="16">
        <f>'CFS (Bull-Case)'!F10-'CFS (Base-Case)'!F10</f>
        <v>0</v>
      </c>
      <c r="G10" s="101">
        <f>'CFS (Bull-Case)'!G10-'CFS (Base-Case)'!G10</f>
        <v>0</v>
      </c>
      <c r="H10" s="17">
        <f>'CFS (Bull-Case)'!H10-'CFS (Base-Case)'!H10</f>
        <v>0</v>
      </c>
      <c r="I10" s="16">
        <f>'CFS (Bull-Case)'!I10-'CFS (Base-Case)'!I10</f>
        <v>0</v>
      </c>
      <c r="J10" s="16">
        <f>'CFS (Bull-Case)'!J10-'CFS (Base-Case)'!J10</f>
        <v>0</v>
      </c>
      <c r="K10" s="16">
        <f>'CFS (Bull-Case)'!K10-'CFS (Base-Case)'!K10</f>
        <v>0</v>
      </c>
      <c r="L10" s="101">
        <f>'CFS (Bull-Case)'!L10-'CFS (Base-Case)'!L10</f>
        <v>0</v>
      </c>
      <c r="M10" s="17">
        <f>'CFS (Bull-Case)'!M10-'CFS (Base-Case)'!M10</f>
        <v>0</v>
      </c>
      <c r="N10" s="16">
        <f>'CFS (Bull-Case)'!N10-'CFS (Base-Case)'!N10</f>
        <v>0</v>
      </c>
      <c r="O10" s="16">
        <f>'CFS (Bull-Case)'!O10-'CFS (Base-Case)'!O10</f>
        <v>0</v>
      </c>
      <c r="P10" s="16">
        <f>'CFS (Bull-Case)'!P10-'CFS (Base-Case)'!P10</f>
        <v>0</v>
      </c>
      <c r="Q10" s="101">
        <f>'CFS (Bull-Case)'!Q10-'CFS (Base-Case)'!Q10</f>
        <v>0</v>
      </c>
      <c r="R10" s="17">
        <f>'CFS (Bull-Case)'!R10-'CFS (Base-Case)'!R10</f>
        <v>0</v>
      </c>
      <c r="S10" s="16">
        <f>'CFS (Bull-Case)'!S10-'CFS (Base-Case)'!S10</f>
        <v>0</v>
      </c>
      <c r="T10" s="16">
        <f>'CFS (Bull-Case)'!T10-'CFS (Base-Case)'!T10</f>
        <v>0</v>
      </c>
      <c r="U10" s="16">
        <f>'CFS (Bull-Case)'!U10-'CFS (Base-Case)'!U10</f>
        <v>0</v>
      </c>
      <c r="V10" s="16">
        <f>'CFS (Bull-Case)'!V10-'CFS (Base-Case)'!V10</f>
        <v>0</v>
      </c>
      <c r="W10" s="17">
        <f>'CFS (Bull-Case)'!W10-'CFS (Base-Case)'!W10</f>
        <v>0</v>
      </c>
      <c r="X10" s="16">
        <f>'CFS (Bull-Case)'!X10-'CFS (Base-Case)'!X10</f>
        <v>0</v>
      </c>
      <c r="Y10" s="16">
        <f>'CFS (Bull-Case)'!Y10-'CFS (Base-Case)'!Y10</f>
        <v>0</v>
      </c>
      <c r="Z10" s="16">
        <f>'CFS (Bull-Case)'!Z10-'CFS (Base-Case)'!Z10</f>
        <v>0</v>
      </c>
      <c r="AA10" s="16">
        <f>'CFS (Bull-Case)'!AA10-'CFS (Base-Case)'!AA10</f>
        <v>0</v>
      </c>
      <c r="AB10" s="17">
        <f>'CFS (Bull-Case)'!AB10-'CFS (Base-Case)'!AB10</f>
        <v>0</v>
      </c>
      <c r="AC10" s="16">
        <f>'CFS (Bull-Case)'!AC10-'CFS (Base-Case)'!AC10</f>
        <v>0</v>
      </c>
      <c r="AD10" s="16">
        <f>'CFS (Bull-Case)'!AD10-'CFS (Base-Case)'!AD10</f>
        <v>0</v>
      </c>
      <c r="AE10" s="16">
        <f>'CFS (Bull-Case)'!AE10-'CFS (Base-Case)'!AE10</f>
        <v>0</v>
      </c>
      <c r="AF10" s="16">
        <f>'CFS (Bull-Case)'!AF10-'CFS (Base-Case)'!AF10</f>
        <v>0</v>
      </c>
      <c r="AG10" s="17">
        <f>'CFS (Bull-Case)'!AG10-'CFS (Base-Case)'!AG10</f>
        <v>0</v>
      </c>
      <c r="AH10" s="16">
        <f>'CFS (Bull-Case)'!AH10-'CFS (Base-Case)'!AH10</f>
        <v>0</v>
      </c>
      <c r="AI10" s="16">
        <f>'CFS (Bull-Case)'!AI10-'CFS (Base-Case)'!AI10</f>
        <v>0</v>
      </c>
      <c r="AJ10" s="16">
        <f>'CFS (Bull-Case)'!AJ10-'CFS (Base-Case)'!AJ10</f>
        <v>0</v>
      </c>
      <c r="AK10" s="16">
        <f>'CFS (Bull-Case)'!AK10-'CFS (Base-Case)'!AK10</f>
        <v>0</v>
      </c>
      <c r="AL10" s="17">
        <f>'CFS (Bull-Case)'!AL10-'CFS (Base-Case)'!AL10</f>
        <v>0</v>
      </c>
      <c r="AM10" s="16">
        <f>'CFS (Bull-Case)'!AM10-'CFS (Base-Case)'!AM10</f>
        <v>0</v>
      </c>
      <c r="AN10" s="16">
        <f>'CFS (Bull-Case)'!AN10-'CFS (Base-Case)'!AN10</f>
        <v>0</v>
      </c>
      <c r="AO10" s="16">
        <f>'CFS (Bull-Case)'!AO10-'CFS (Base-Case)'!AO10</f>
        <v>0</v>
      </c>
      <c r="AP10" s="16">
        <f>'CFS (Bull-Case)'!AP10-'CFS (Base-Case)'!AP10</f>
        <v>0</v>
      </c>
      <c r="AQ10" s="17">
        <f>'CFS (Bull-Case)'!AQ10-'CFS (Base-Case)'!AQ10</f>
        <v>0</v>
      </c>
      <c r="AR10" s="16">
        <f>'CFS (Bull-Case)'!AR10-'CFS (Base-Case)'!AR10</f>
        <v>0</v>
      </c>
      <c r="AS10" s="16">
        <f>'CFS (Bull-Case)'!AS10-'CFS (Base-Case)'!AS10</f>
        <v>0</v>
      </c>
      <c r="AT10" s="16">
        <f>'CFS (Bull-Case)'!AT10-'CFS (Base-Case)'!AT10</f>
        <v>0</v>
      </c>
      <c r="AU10" s="16">
        <f>'CFS (Bull-Case)'!AU10-'CFS (Base-Case)'!AU10</f>
        <v>0</v>
      </c>
      <c r="AV10" s="17">
        <f>'CFS (Bull-Case)'!AV10-'CFS (Base-Case)'!AV10</f>
        <v>0</v>
      </c>
    </row>
    <row r="11" spans="2:48" outlineLevel="1" x14ac:dyDescent="0.3">
      <c r="B11" s="308" t="s">
        <v>273</v>
      </c>
      <c r="C11" s="44"/>
      <c r="D11" s="16">
        <f>'CFS (Bull-Case)'!D11-'CFS (Base-Case)'!D11</f>
        <v>0</v>
      </c>
      <c r="E11" s="16">
        <f>'CFS (Bull-Case)'!E11-'CFS (Base-Case)'!E11</f>
        <v>0</v>
      </c>
      <c r="F11" s="16">
        <f>'CFS (Bull-Case)'!F11-'CFS (Base-Case)'!F11</f>
        <v>0</v>
      </c>
      <c r="G11" s="101">
        <f>'CFS (Bull-Case)'!G11-'CFS (Base-Case)'!G11</f>
        <v>0</v>
      </c>
      <c r="H11" s="17">
        <f>'CFS (Bull-Case)'!H11-'CFS (Base-Case)'!H11</f>
        <v>0</v>
      </c>
      <c r="I11" s="16">
        <f>'CFS (Bull-Case)'!I11-'CFS (Base-Case)'!I11</f>
        <v>0</v>
      </c>
      <c r="J11" s="16">
        <f>'CFS (Bull-Case)'!J11-'CFS (Base-Case)'!J11</f>
        <v>0</v>
      </c>
      <c r="K11" s="16">
        <f>'CFS (Bull-Case)'!K11-'CFS (Base-Case)'!K11</f>
        <v>0</v>
      </c>
      <c r="L11" s="101">
        <f>'CFS (Bull-Case)'!L11-'CFS (Base-Case)'!L11</f>
        <v>0</v>
      </c>
      <c r="M11" s="17">
        <f>'CFS (Bull-Case)'!M11-'CFS (Base-Case)'!M11</f>
        <v>0</v>
      </c>
      <c r="N11" s="16">
        <f>'CFS (Bull-Case)'!N11-'CFS (Base-Case)'!N11</f>
        <v>0</v>
      </c>
      <c r="O11" s="16">
        <f>'CFS (Bull-Case)'!O11-'CFS (Base-Case)'!O11</f>
        <v>0</v>
      </c>
      <c r="P11" s="16">
        <f>'CFS (Bull-Case)'!P11-'CFS (Base-Case)'!P11</f>
        <v>0</v>
      </c>
      <c r="Q11" s="101">
        <f>'CFS (Bull-Case)'!Q11-'CFS (Base-Case)'!Q11</f>
        <v>0</v>
      </c>
      <c r="R11" s="17">
        <f>'CFS (Bull-Case)'!R11-'CFS (Base-Case)'!R11</f>
        <v>0</v>
      </c>
      <c r="S11" s="16">
        <f>'CFS (Bull-Case)'!S11-'CFS (Base-Case)'!S11</f>
        <v>0</v>
      </c>
      <c r="T11" s="16">
        <f>'CFS (Bull-Case)'!T11-'CFS (Base-Case)'!T11</f>
        <v>0</v>
      </c>
      <c r="U11" s="16">
        <f>'CFS (Bull-Case)'!U11-'CFS (Base-Case)'!U11</f>
        <v>0</v>
      </c>
      <c r="V11" s="16">
        <f>'CFS (Bull-Case)'!V11-'CFS (Base-Case)'!V11</f>
        <v>0</v>
      </c>
      <c r="W11" s="17">
        <f>'CFS (Bull-Case)'!W11-'CFS (Base-Case)'!W11</f>
        <v>0</v>
      </c>
      <c r="X11" s="16">
        <f>'CFS (Bull-Case)'!X11-'CFS (Base-Case)'!X11</f>
        <v>0</v>
      </c>
      <c r="Y11" s="16">
        <f>'CFS (Bull-Case)'!Y11-'CFS (Base-Case)'!Y11</f>
        <v>0</v>
      </c>
      <c r="Z11" s="16">
        <f>'CFS (Bull-Case)'!Z11-'CFS (Base-Case)'!Z11</f>
        <v>0</v>
      </c>
      <c r="AA11" s="16">
        <f>'CFS (Bull-Case)'!AA11-'CFS (Base-Case)'!AA11</f>
        <v>0</v>
      </c>
      <c r="AB11" s="17">
        <f>'CFS (Bull-Case)'!AB11-'CFS (Base-Case)'!AB11</f>
        <v>0</v>
      </c>
      <c r="AC11" s="16">
        <f>'CFS (Bull-Case)'!AC11-'CFS (Base-Case)'!AC11</f>
        <v>0</v>
      </c>
      <c r="AD11" s="16">
        <f>'CFS (Bull-Case)'!AD11-'CFS (Base-Case)'!AD11</f>
        <v>0</v>
      </c>
      <c r="AE11" s="16">
        <f>'CFS (Bull-Case)'!AE11-'CFS (Base-Case)'!AE11</f>
        <v>0</v>
      </c>
      <c r="AF11" s="16">
        <f>'CFS (Bull-Case)'!AF11-'CFS (Base-Case)'!AF11</f>
        <v>0</v>
      </c>
      <c r="AG11" s="17">
        <f>'CFS (Bull-Case)'!AG11-'CFS (Base-Case)'!AG11</f>
        <v>0</v>
      </c>
      <c r="AH11" s="16">
        <f>'CFS (Bull-Case)'!AH11-'CFS (Base-Case)'!AH11</f>
        <v>0</v>
      </c>
      <c r="AI11" s="16">
        <f>'CFS (Bull-Case)'!AI11-'CFS (Base-Case)'!AI11</f>
        <v>0</v>
      </c>
      <c r="AJ11" s="16">
        <f>'CFS (Bull-Case)'!AJ11-'CFS (Base-Case)'!AJ11</f>
        <v>0</v>
      </c>
      <c r="AK11" s="16">
        <f>'CFS (Bull-Case)'!AK11-'CFS (Base-Case)'!AK11</f>
        <v>0</v>
      </c>
      <c r="AL11" s="17">
        <f>'CFS (Bull-Case)'!AL11-'CFS (Base-Case)'!AL11</f>
        <v>0</v>
      </c>
      <c r="AM11" s="16">
        <f>'CFS (Bull-Case)'!AM11-'CFS (Base-Case)'!AM11</f>
        <v>0</v>
      </c>
      <c r="AN11" s="16">
        <f>'CFS (Bull-Case)'!AN11-'CFS (Base-Case)'!AN11</f>
        <v>0</v>
      </c>
      <c r="AO11" s="16">
        <f>'CFS (Bull-Case)'!AO11-'CFS (Base-Case)'!AO11</f>
        <v>0</v>
      </c>
      <c r="AP11" s="16">
        <f>'CFS (Bull-Case)'!AP11-'CFS (Base-Case)'!AP11</f>
        <v>0</v>
      </c>
      <c r="AQ11" s="17">
        <f>'CFS (Bull-Case)'!AQ11-'CFS (Base-Case)'!AQ11</f>
        <v>0</v>
      </c>
      <c r="AR11" s="16">
        <f>'CFS (Bull-Case)'!AR11-'CFS (Base-Case)'!AR11</f>
        <v>0</v>
      </c>
      <c r="AS11" s="16">
        <f>'CFS (Bull-Case)'!AS11-'CFS (Base-Case)'!AS11</f>
        <v>0</v>
      </c>
      <c r="AT11" s="16">
        <f>'CFS (Bull-Case)'!AT11-'CFS (Base-Case)'!AT11</f>
        <v>0</v>
      </c>
      <c r="AU11" s="16">
        <f>'CFS (Bull-Case)'!AU11-'CFS (Base-Case)'!AU11</f>
        <v>0</v>
      </c>
      <c r="AV11" s="17">
        <f>'CFS (Bull-Case)'!AV11-'CFS (Base-Case)'!AV11</f>
        <v>0</v>
      </c>
    </row>
    <row r="12" spans="2:48" outlineLevel="1" x14ac:dyDescent="0.3">
      <c r="B12" s="308" t="s">
        <v>274</v>
      </c>
      <c r="C12" s="44"/>
      <c r="D12" s="16">
        <f>'CFS (Bull-Case)'!D12-'CFS (Base-Case)'!D12</f>
        <v>0</v>
      </c>
      <c r="E12" s="16">
        <f>'CFS (Bull-Case)'!E12-'CFS (Base-Case)'!E12</f>
        <v>0</v>
      </c>
      <c r="F12" s="16">
        <f>'CFS (Bull-Case)'!F12-'CFS (Base-Case)'!F12</f>
        <v>0</v>
      </c>
      <c r="G12" s="101">
        <f>'CFS (Bull-Case)'!G12-'CFS (Base-Case)'!G12</f>
        <v>0</v>
      </c>
      <c r="H12" s="17">
        <f>'CFS (Bull-Case)'!H12-'CFS (Base-Case)'!H12</f>
        <v>0</v>
      </c>
      <c r="I12" s="16">
        <f>'CFS (Bull-Case)'!I12-'CFS (Base-Case)'!I12</f>
        <v>0</v>
      </c>
      <c r="J12" s="16">
        <f>'CFS (Bull-Case)'!J12-'CFS (Base-Case)'!J12</f>
        <v>0</v>
      </c>
      <c r="K12" s="16">
        <f>'CFS (Bull-Case)'!K12-'CFS (Base-Case)'!K12</f>
        <v>0</v>
      </c>
      <c r="L12" s="101">
        <f>'CFS (Bull-Case)'!L12-'CFS (Base-Case)'!L12</f>
        <v>0</v>
      </c>
      <c r="M12" s="17">
        <f>'CFS (Bull-Case)'!M12-'CFS (Base-Case)'!M12</f>
        <v>0</v>
      </c>
      <c r="N12" s="16">
        <f>'CFS (Bull-Case)'!N12-'CFS (Base-Case)'!N12</f>
        <v>0</v>
      </c>
      <c r="O12" s="16">
        <f>'CFS (Bull-Case)'!O12-'CFS (Base-Case)'!O12</f>
        <v>0</v>
      </c>
      <c r="P12" s="16">
        <f>'CFS (Bull-Case)'!P12-'CFS (Base-Case)'!P12</f>
        <v>0</v>
      </c>
      <c r="Q12" s="101">
        <f>'CFS (Bull-Case)'!Q12-'CFS (Base-Case)'!Q12</f>
        <v>0</v>
      </c>
      <c r="R12" s="17">
        <f>'CFS (Bull-Case)'!R12-'CFS (Base-Case)'!R12</f>
        <v>0</v>
      </c>
      <c r="S12" s="16">
        <f>'CFS (Bull-Case)'!S12-'CFS (Base-Case)'!S12</f>
        <v>0</v>
      </c>
      <c r="T12" s="16">
        <f>'CFS (Bull-Case)'!T12-'CFS (Base-Case)'!T12</f>
        <v>0</v>
      </c>
      <c r="U12" s="16">
        <f>'CFS (Bull-Case)'!U12-'CFS (Base-Case)'!U12</f>
        <v>0</v>
      </c>
      <c r="V12" s="16">
        <f>'CFS (Bull-Case)'!V12-'CFS (Base-Case)'!V12</f>
        <v>0</v>
      </c>
      <c r="W12" s="17">
        <f>'CFS (Bull-Case)'!W12-'CFS (Base-Case)'!W12</f>
        <v>0</v>
      </c>
      <c r="X12" s="16">
        <f>'CFS (Bull-Case)'!X12-'CFS (Base-Case)'!X12</f>
        <v>0.75964170944369869</v>
      </c>
      <c r="Y12" s="16">
        <f>'CFS (Bull-Case)'!Y12-'CFS (Base-Case)'!Y12</f>
        <v>0.65349049657767466</v>
      </c>
      <c r="Z12" s="16">
        <f>'CFS (Bull-Case)'!Z12-'CFS (Base-Case)'!Z12</f>
        <v>0.74483630735198858</v>
      </c>
      <c r="AA12" s="16">
        <f>'CFS (Bull-Case)'!AA12-'CFS (Base-Case)'!AA12</f>
        <v>0.75007583953910739</v>
      </c>
      <c r="AB12" s="17">
        <f>'CFS (Bull-Case)'!AB12-'CFS (Base-Case)'!AB12</f>
        <v>2.9080443529124409</v>
      </c>
      <c r="AC12" s="16">
        <f>'CFS (Bull-Case)'!AC12-'CFS (Base-Case)'!AC12</f>
        <v>1.5754081316219128</v>
      </c>
      <c r="AD12" s="16">
        <f>'CFS (Bull-Case)'!AD12-'CFS (Base-Case)'!AD12</f>
        <v>1.4796188367699443</v>
      </c>
      <c r="AE12" s="16">
        <f>'CFS (Bull-Case)'!AE12-'CFS (Base-Case)'!AE12</f>
        <v>1.6419210406628792</v>
      </c>
      <c r="AF12" s="16">
        <f>'CFS (Bull-Case)'!AF12-'CFS (Base-Case)'!AF12</f>
        <v>1.6143005889500586</v>
      </c>
      <c r="AG12" s="17">
        <f>'CFS (Bull-Case)'!AG12-'CFS (Base-Case)'!AG12</f>
        <v>6.311248598004795</v>
      </c>
      <c r="AH12" s="16">
        <f>'CFS (Bull-Case)'!AH12-'CFS (Base-Case)'!AH12</f>
        <v>2.5997596865707209</v>
      </c>
      <c r="AI12" s="16">
        <f>'CFS (Bull-Case)'!AI12-'CFS (Base-Case)'!AI12</f>
        <v>2.4763610251682593</v>
      </c>
      <c r="AJ12" s="16">
        <f>'CFS (Bull-Case)'!AJ12-'CFS (Base-Case)'!AJ12</f>
        <v>2.7249620898697202</v>
      </c>
      <c r="AK12" s="16">
        <f>'CFS (Bull-Case)'!AK12-'CFS (Base-Case)'!AK12</f>
        <v>2.6729715006692771</v>
      </c>
      <c r="AL12" s="17">
        <f>'CFS (Bull-Case)'!AL12-'CFS (Base-Case)'!AL12</f>
        <v>10.474054302278034</v>
      </c>
      <c r="AM12" s="16">
        <f>'CFS (Bull-Case)'!AM12-'CFS (Base-Case)'!AM12</f>
        <v>2.8212793004630896</v>
      </c>
      <c r="AN12" s="16">
        <f>'CFS (Bull-Case)'!AN12-'CFS (Base-Case)'!AN12</f>
        <v>2.6906566705704478</v>
      </c>
      <c r="AO12" s="16">
        <f>'CFS (Bull-Case)'!AO12-'CFS (Base-Case)'!AO12</f>
        <v>2.9559179235104125</v>
      </c>
      <c r="AP12" s="16">
        <f>'CFS (Bull-Case)'!AP12-'CFS (Base-Case)'!AP12</f>
        <v>2.8982503262363792</v>
      </c>
      <c r="AQ12" s="17">
        <f>'CFS (Bull-Case)'!AQ12-'CFS (Base-Case)'!AQ12</f>
        <v>11.366104220780358</v>
      </c>
      <c r="AR12" s="16">
        <f>'CFS (Bull-Case)'!AR12-'CFS (Base-Case)'!AR12</f>
        <v>3.001336169808738</v>
      </c>
      <c r="AS12" s="16">
        <f>'CFS (Bull-Case)'!AS12-'CFS (Base-Case)'!AS12</f>
        <v>2.8616910022623188</v>
      </c>
      <c r="AT12" s="16">
        <f>'CFS (Bull-Case)'!AT12-'CFS (Base-Case)'!AT12</f>
        <v>3.1424835945992129</v>
      </c>
      <c r="AU12" s="16">
        <f>'CFS (Bull-Case)'!AU12-'CFS (Base-Case)'!AU12</f>
        <v>3.0806816640241976</v>
      </c>
      <c r="AV12" s="17">
        <f>'CFS (Bull-Case)'!AV12-'CFS (Base-Case)'!AV12</f>
        <v>12.086192430694496</v>
      </c>
    </row>
    <row r="13" spans="2:48" outlineLevel="1" x14ac:dyDescent="0.3">
      <c r="B13" s="319" t="s">
        <v>275</v>
      </c>
      <c r="C13" s="320"/>
      <c r="D13" s="16">
        <f>'CFS (Bull-Case)'!D13-'CFS (Base-Case)'!D13</f>
        <v>0</v>
      </c>
      <c r="E13" s="101">
        <f>'CFS (Bull-Case)'!E13-'CFS (Base-Case)'!E13</f>
        <v>0</v>
      </c>
      <c r="F13" s="101">
        <f>'CFS (Bull-Case)'!F13-'CFS (Base-Case)'!F13</f>
        <v>0</v>
      </c>
      <c r="G13" s="101">
        <f>'CFS (Bull-Case)'!G13-'CFS (Base-Case)'!G13</f>
        <v>0</v>
      </c>
      <c r="H13" s="17">
        <f>'CFS (Bull-Case)'!H13-'CFS (Base-Case)'!H13</f>
        <v>0</v>
      </c>
      <c r="I13" s="101">
        <f>'CFS (Bull-Case)'!I13-'CFS (Base-Case)'!I13</f>
        <v>0</v>
      </c>
      <c r="J13" s="101">
        <f>'CFS (Bull-Case)'!J13-'CFS (Base-Case)'!J13</f>
        <v>0</v>
      </c>
      <c r="K13" s="101">
        <f>'CFS (Bull-Case)'!K13-'CFS (Base-Case)'!K13</f>
        <v>0</v>
      </c>
      <c r="L13" s="101">
        <f>'CFS (Bull-Case)'!L13-'CFS (Base-Case)'!L13</f>
        <v>0</v>
      </c>
      <c r="M13" s="17">
        <f>'CFS (Bull-Case)'!M13-'CFS (Base-Case)'!M13</f>
        <v>0</v>
      </c>
      <c r="N13" s="101">
        <f>'CFS (Bull-Case)'!N13-'CFS (Base-Case)'!N13</f>
        <v>0</v>
      </c>
      <c r="O13" s="101">
        <f>'CFS (Bull-Case)'!O13-'CFS (Base-Case)'!O13</f>
        <v>0</v>
      </c>
      <c r="P13" s="101">
        <f>'CFS (Bull-Case)'!P13-'CFS (Base-Case)'!P13</f>
        <v>0</v>
      </c>
      <c r="Q13" s="101">
        <f>'CFS (Bull-Case)'!Q13-'CFS (Base-Case)'!Q13</f>
        <v>0</v>
      </c>
      <c r="R13" s="17">
        <f>'CFS (Bull-Case)'!R13-'CFS (Base-Case)'!R13</f>
        <v>0</v>
      </c>
      <c r="S13" s="101">
        <f>'CFS (Bull-Case)'!S13-'CFS (Base-Case)'!S13</f>
        <v>0</v>
      </c>
      <c r="T13" s="101">
        <f>'CFS (Bull-Case)'!T13-'CFS (Base-Case)'!T13</f>
        <v>0</v>
      </c>
      <c r="U13" s="101">
        <f>'CFS (Bull-Case)'!U13-'CFS (Base-Case)'!U13</f>
        <v>0</v>
      </c>
      <c r="V13" s="33">
        <f>'CFS (Bull-Case)'!V13-'CFS (Base-Case)'!V13</f>
        <v>0</v>
      </c>
      <c r="W13" s="17">
        <f>'CFS (Bull-Case)'!W13-'CFS (Base-Case)'!W13</f>
        <v>0</v>
      </c>
      <c r="X13" s="33">
        <f>'CFS (Bull-Case)'!X13-'CFS (Base-Case)'!X13</f>
        <v>0</v>
      </c>
      <c r="Y13" s="33">
        <f>'CFS (Bull-Case)'!Y13-'CFS (Base-Case)'!Y13</f>
        <v>0</v>
      </c>
      <c r="Z13" s="33">
        <f>'CFS (Bull-Case)'!Z13-'CFS (Base-Case)'!Z13</f>
        <v>0</v>
      </c>
      <c r="AA13" s="33">
        <f>'CFS (Bull-Case)'!AA13-'CFS (Base-Case)'!AA13</f>
        <v>0</v>
      </c>
      <c r="AB13" s="17">
        <f>'CFS (Bull-Case)'!AB13-'CFS (Base-Case)'!AB13</f>
        <v>0</v>
      </c>
      <c r="AC13" s="33">
        <f>'CFS (Bull-Case)'!AC13-'CFS (Base-Case)'!AC13</f>
        <v>0</v>
      </c>
      <c r="AD13" s="33">
        <f>'CFS (Bull-Case)'!AD13-'CFS (Base-Case)'!AD13</f>
        <v>0</v>
      </c>
      <c r="AE13" s="33">
        <f>'CFS (Bull-Case)'!AE13-'CFS (Base-Case)'!AE13</f>
        <v>0</v>
      </c>
      <c r="AF13" s="33">
        <f>'CFS (Bull-Case)'!AF13-'CFS (Base-Case)'!AF13</f>
        <v>0</v>
      </c>
      <c r="AG13" s="17">
        <f>'CFS (Bull-Case)'!AG13-'CFS (Base-Case)'!AG13</f>
        <v>0</v>
      </c>
      <c r="AH13" s="33">
        <f>'CFS (Bull-Case)'!AH13-'CFS (Base-Case)'!AH13</f>
        <v>0</v>
      </c>
      <c r="AI13" s="33">
        <f>'CFS (Bull-Case)'!AI13-'CFS (Base-Case)'!AI13</f>
        <v>0</v>
      </c>
      <c r="AJ13" s="33">
        <f>'CFS (Bull-Case)'!AJ13-'CFS (Base-Case)'!AJ13</f>
        <v>0</v>
      </c>
      <c r="AK13" s="33">
        <f>'CFS (Bull-Case)'!AK13-'CFS (Base-Case)'!AK13</f>
        <v>0</v>
      </c>
      <c r="AL13" s="17">
        <f>'CFS (Bull-Case)'!AL13-'CFS (Base-Case)'!AL13</f>
        <v>0</v>
      </c>
      <c r="AM13" s="33">
        <f>'CFS (Bull-Case)'!AM13-'CFS (Base-Case)'!AM13</f>
        <v>0</v>
      </c>
      <c r="AN13" s="33">
        <f>'CFS (Bull-Case)'!AN13-'CFS (Base-Case)'!AN13</f>
        <v>0</v>
      </c>
      <c r="AO13" s="33">
        <f>'CFS (Bull-Case)'!AO13-'CFS (Base-Case)'!AO13</f>
        <v>0</v>
      </c>
      <c r="AP13" s="33">
        <f>'CFS (Bull-Case)'!AP13-'CFS (Base-Case)'!AP13</f>
        <v>0</v>
      </c>
      <c r="AQ13" s="17">
        <f>'CFS (Bull-Case)'!AQ13-'CFS (Base-Case)'!AQ13</f>
        <v>0</v>
      </c>
      <c r="AR13" s="33">
        <f>'CFS (Bull-Case)'!AR13-'CFS (Base-Case)'!AR13</f>
        <v>0</v>
      </c>
      <c r="AS13" s="33">
        <f>'CFS (Bull-Case)'!AS13-'CFS (Base-Case)'!AS13</f>
        <v>0</v>
      </c>
      <c r="AT13" s="33">
        <f>'CFS (Bull-Case)'!AT13-'CFS (Base-Case)'!AT13</f>
        <v>0</v>
      </c>
      <c r="AU13" s="33">
        <f>'CFS (Bull-Case)'!AU13-'CFS (Base-Case)'!AU13</f>
        <v>0</v>
      </c>
      <c r="AV13" s="17">
        <f>'CFS (Bull-Case)'!AV13-'CFS (Base-Case)'!AV13</f>
        <v>0</v>
      </c>
    </row>
    <row r="14" spans="2:48" outlineLevel="1" x14ac:dyDescent="0.3">
      <c r="B14" s="489" t="s">
        <v>276</v>
      </c>
      <c r="C14" s="490"/>
      <c r="D14" s="321">
        <f>'CFS (Bull-Case)'!D14-'CFS (Base-Case)'!D14</f>
        <v>0</v>
      </c>
      <c r="E14" s="322">
        <f>'CFS (Bull-Case)'!E14-'CFS (Base-Case)'!E14</f>
        <v>0</v>
      </c>
      <c r="F14" s="323">
        <f>'CFS (Bull-Case)'!F14-'CFS (Base-Case)'!F14</f>
        <v>0</v>
      </c>
      <c r="G14" s="323">
        <f>'CFS (Bull-Case)'!G14-'CFS (Base-Case)'!G14</f>
        <v>0</v>
      </c>
      <c r="H14" s="324">
        <f>'CFS (Bull-Case)'!H14-'CFS (Base-Case)'!H14</f>
        <v>0</v>
      </c>
      <c r="I14" s="323">
        <f>'CFS (Bull-Case)'!I14-'CFS (Base-Case)'!I14</f>
        <v>0</v>
      </c>
      <c r="J14" s="323">
        <f>'CFS (Bull-Case)'!J14-'CFS (Base-Case)'!J14</f>
        <v>0</v>
      </c>
      <c r="K14" s="323">
        <f>'CFS (Bull-Case)'!K14-'CFS (Base-Case)'!K14</f>
        <v>0</v>
      </c>
      <c r="L14" s="323">
        <f>'CFS (Bull-Case)'!L14-'CFS (Base-Case)'!L14</f>
        <v>0</v>
      </c>
      <c r="M14" s="324">
        <f>'CFS (Bull-Case)'!M14-'CFS (Base-Case)'!M14</f>
        <v>0</v>
      </c>
      <c r="N14" s="323">
        <f>'CFS (Bull-Case)'!N14-'CFS (Base-Case)'!N14</f>
        <v>0</v>
      </c>
      <c r="O14" s="323">
        <f>'CFS (Bull-Case)'!O14-'CFS (Base-Case)'!O14</f>
        <v>0</v>
      </c>
      <c r="P14" s="323">
        <f>'CFS (Bull-Case)'!P14-'CFS (Base-Case)'!P14</f>
        <v>0</v>
      </c>
      <c r="Q14" s="323">
        <f>'CFS (Bull-Case)'!Q14-'CFS (Base-Case)'!Q14</f>
        <v>0</v>
      </c>
      <c r="R14" s="324">
        <f>'CFS (Bull-Case)'!R14-'CFS (Base-Case)'!R14</f>
        <v>0</v>
      </c>
      <c r="S14" s="323">
        <f>'CFS (Bull-Case)'!S14-'CFS (Base-Case)'!S14</f>
        <v>0</v>
      </c>
      <c r="T14" s="323">
        <f>'CFS (Bull-Case)'!T14-'CFS (Base-Case)'!T14</f>
        <v>0</v>
      </c>
      <c r="U14" s="323">
        <f>'CFS (Bull-Case)'!U14-'CFS (Base-Case)'!U14</f>
        <v>0</v>
      </c>
      <c r="V14" s="323">
        <f>'CFS (Bull-Case)'!V14-'CFS (Base-Case)'!V14</f>
        <v>0</v>
      </c>
      <c r="W14" s="324">
        <f>'CFS (Bull-Case)'!W14-'CFS (Base-Case)'!W14</f>
        <v>0</v>
      </c>
      <c r="X14" s="323">
        <f>'CFS (Bull-Case)'!X14-'CFS (Base-Case)'!X14</f>
        <v>0</v>
      </c>
      <c r="Y14" s="323">
        <f>'CFS (Bull-Case)'!Y14-'CFS (Base-Case)'!Y14</f>
        <v>0</v>
      </c>
      <c r="Z14" s="323">
        <f>'CFS (Bull-Case)'!Z14-'CFS (Base-Case)'!Z14</f>
        <v>0</v>
      </c>
      <c r="AA14" s="323">
        <f>'CFS (Bull-Case)'!AA14-'CFS (Base-Case)'!AA14</f>
        <v>0</v>
      </c>
      <c r="AB14" s="324">
        <f>'CFS (Bull-Case)'!AB14-'CFS (Base-Case)'!AB14</f>
        <v>0</v>
      </c>
      <c r="AC14" s="323">
        <f>'CFS (Bull-Case)'!AC14-'CFS (Base-Case)'!AC14</f>
        <v>0</v>
      </c>
      <c r="AD14" s="323">
        <f>'CFS (Bull-Case)'!AD14-'CFS (Base-Case)'!AD14</f>
        <v>0</v>
      </c>
      <c r="AE14" s="323">
        <f>'CFS (Bull-Case)'!AE14-'CFS (Base-Case)'!AE14</f>
        <v>0</v>
      </c>
      <c r="AF14" s="323">
        <f>'CFS (Bull-Case)'!AF14-'CFS (Base-Case)'!AF14</f>
        <v>0</v>
      </c>
      <c r="AG14" s="324">
        <f>'CFS (Bull-Case)'!AG14-'CFS (Base-Case)'!AG14</f>
        <v>0</v>
      </c>
      <c r="AH14" s="323">
        <f>'CFS (Bull-Case)'!AH14-'CFS (Base-Case)'!AH14</f>
        <v>0</v>
      </c>
      <c r="AI14" s="323">
        <f>'CFS (Bull-Case)'!AI14-'CFS (Base-Case)'!AI14</f>
        <v>0</v>
      </c>
      <c r="AJ14" s="323">
        <f>'CFS (Bull-Case)'!AJ14-'CFS (Base-Case)'!AJ14</f>
        <v>0</v>
      </c>
      <c r="AK14" s="323">
        <f>'CFS (Bull-Case)'!AK14-'CFS (Base-Case)'!AK14</f>
        <v>0</v>
      </c>
      <c r="AL14" s="324">
        <f>'CFS (Bull-Case)'!AL14-'CFS (Base-Case)'!AL14</f>
        <v>0</v>
      </c>
      <c r="AM14" s="323">
        <f>'CFS (Bull-Case)'!AM14-'CFS (Base-Case)'!AM14</f>
        <v>0</v>
      </c>
      <c r="AN14" s="323">
        <f>'CFS (Bull-Case)'!AN14-'CFS (Base-Case)'!AN14</f>
        <v>0</v>
      </c>
      <c r="AO14" s="323">
        <f>'CFS (Bull-Case)'!AO14-'CFS (Base-Case)'!AO14</f>
        <v>0</v>
      </c>
      <c r="AP14" s="323">
        <f>'CFS (Bull-Case)'!AP14-'CFS (Base-Case)'!AP14</f>
        <v>0</v>
      </c>
      <c r="AQ14" s="324">
        <f>'CFS (Bull-Case)'!AQ14-'CFS (Base-Case)'!AQ14</f>
        <v>0</v>
      </c>
      <c r="AR14" s="323">
        <f>'CFS (Bull-Case)'!AR14-'CFS (Base-Case)'!AR14</f>
        <v>0</v>
      </c>
      <c r="AS14" s="323">
        <f>'CFS (Bull-Case)'!AS14-'CFS (Base-Case)'!AS14</f>
        <v>0</v>
      </c>
      <c r="AT14" s="323">
        <f>'CFS (Bull-Case)'!AT14-'CFS (Base-Case)'!AT14</f>
        <v>0</v>
      </c>
      <c r="AU14" s="323">
        <f>'CFS (Bull-Case)'!AU14-'CFS (Base-Case)'!AU14</f>
        <v>0</v>
      </c>
      <c r="AV14" s="324">
        <f>'CFS (Bull-Case)'!AV14-'CFS (Base-Case)'!AV14</f>
        <v>0</v>
      </c>
    </row>
    <row r="15" spans="2:48" outlineLevel="1" x14ac:dyDescent="0.3">
      <c r="B15" s="485" t="s">
        <v>277</v>
      </c>
      <c r="C15" s="486"/>
      <c r="D15" s="327">
        <f>'CFS (Bull-Case)'!D15-'CFS (Base-Case)'!D15</f>
        <v>0</v>
      </c>
      <c r="E15" s="327">
        <f>'CFS (Bull-Case)'!E15-'CFS (Base-Case)'!E15</f>
        <v>0</v>
      </c>
      <c r="F15" s="327">
        <f>'CFS (Bull-Case)'!F15-'CFS (Base-Case)'!F15</f>
        <v>0</v>
      </c>
      <c r="G15" s="327">
        <f>'CFS (Bull-Case)'!G15-'CFS (Base-Case)'!G15</f>
        <v>0</v>
      </c>
      <c r="H15" s="328">
        <f>'CFS (Bull-Case)'!H15-'CFS (Base-Case)'!H15</f>
        <v>0</v>
      </c>
      <c r="I15" s="327">
        <f>'CFS (Bull-Case)'!I15-'CFS (Base-Case)'!I15</f>
        <v>0</v>
      </c>
      <c r="J15" s="327">
        <f>'CFS (Bull-Case)'!J15-'CFS (Base-Case)'!J15</f>
        <v>0</v>
      </c>
      <c r="K15" s="327">
        <f>'CFS (Bull-Case)'!K15-'CFS (Base-Case)'!K15</f>
        <v>0</v>
      </c>
      <c r="L15" s="327">
        <f>'CFS (Bull-Case)'!L15-'CFS (Base-Case)'!L15</f>
        <v>0</v>
      </c>
      <c r="M15" s="328">
        <f>'CFS (Bull-Case)'!M15-'CFS (Base-Case)'!M15</f>
        <v>0</v>
      </c>
      <c r="N15" s="327">
        <f>'CFS (Bull-Case)'!N15-'CFS (Base-Case)'!N15</f>
        <v>0</v>
      </c>
      <c r="O15" s="327">
        <f>'CFS (Bull-Case)'!O15-'CFS (Base-Case)'!O15</f>
        <v>0</v>
      </c>
      <c r="P15" s="327">
        <f>'CFS (Bull-Case)'!P15-'CFS (Base-Case)'!P15</f>
        <v>0</v>
      </c>
      <c r="Q15" s="327">
        <f>'CFS (Bull-Case)'!Q15-'CFS (Base-Case)'!Q15</f>
        <v>0</v>
      </c>
      <c r="R15" s="328">
        <f>'CFS (Bull-Case)'!R15-'CFS (Base-Case)'!R15</f>
        <v>0</v>
      </c>
      <c r="S15" s="327">
        <f>'CFS (Bull-Case)'!S15-'CFS (Base-Case)'!S15</f>
        <v>0</v>
      </c>
      <c r="T15" s="327">
        <f>'CFS (Bull-Case)'!T15-'CFS (Base-Case)'!T15</f>
        <v>0</v>
      </c>
      <c r="U15" s="327">
        <f>'CFS (Bull-Case)'!U15-'CFS (Base-Case)'!U15</f>
        <v>0</v>
      </c>
      <c r="V15" s="327">
        <f>'CFS (Bull-Case)'!V15-'CFS (Base-Case)'!V15</f>
        <v>0</v>
      </c>
      <c r="W15" s="328">
        <f>'CFS (Bull-Case)'!W15-'CFS (Base-Case)'!W15</f>
        <v>0</v>
      </c>
      <c r="X15" s="327">
        <f>'CFS (Bull-Case)'!X15-'CFS (Base-Case)'!X15</f>
        <v>-11.417604940947967</v>
      </c>
      <c r="Y15" s="327">
        <f>'CFS (Bull-Case)'!Y15-'CFS (Base-Case)'!Y15</f>
        <v>-0.2833642490852526</v>
      </c>
      <c r="Z15" s="327">
        <f>'CFS (Bull-Case)'!Z15-'CFS (Base-Case)'!Z15</f>
        <v>-2.2408407258019452</v>
      </c>
      <c r="AA15" s="327">
        <f>'CFS (Bull-Case)'!AA15-'CFS (Base-Case)'!AA15</f>
        <v>2.2409646357607471</v>
      </c>
      <c r="AB15" s="328">
        <f>'CFS (Bull-Case)'!AB15-'CFS (Base-Case)'!AB15</f>
        <v>-11.700845280074418</v>
      </c>
      <c r="AC15" s="327">
        <f>'CFS (Bull-Case)'!AC15-'CFS (Base-Case)'!AC15</f>
        <v>-13.414002290835697</v>
      </c>
      <c r="AD15" s="327">
        <f>'CFS (Bull-Case)'!AD15-'CFS (Base-Case)'!AD15</f>
        <v>0.36846618861522984</v>
      </c>
      <c r="AE15" s="327">
        <f>'CFS (Bull-Case)'!AE15-'CFS (Base-Case)'!AE15</f>
        <v>-2.9241945208611924</v>
      </c>
      <c r="AF15" s="327">
        <f>'CFS (Bull-Case)'!AF15-'CFS (Base-Case)'!AF15</f>
        <v>3.0517970035675717</v>
      </c>
      <c r="AG15" s="328">
        <f>'CFS (Bull-Case)'!AG15-'CFS (Base-Case)'!AG15</f>
        <v>-12.917933619514088</v>
      </c>
      <c r="AH15" s="327">
        <f>'CFS (Bull-Case)'!AH15-'CFS (Base-Case)'!AH15</f>
        <v>-16.873562230001198</v>
      </c>
      <c r="AI15" s="327">
        <f>'CFS (Bull-Case)'!AI15-'CFS (Base-Case)'!AI15</f>
        <v>0.14431882066378421</v>
      </c>
      <c r="AJ15" s="327">
        <f>'CFS (Bull-Case)'!AJ15-'CFS (Base-Case)'!AJ15</f>
        <v>-6.4389572906111425</v>
      </c>
      <c r="AK15" s="327">
        <f>'CFS (Bull-Case)'!AK15-'CFS (Base-Case)'!AK15</f>
        <v>5.9357137740200869</v>
      </c>
      <c r="AL15" s="328">
        <f>'CFS (Bull-Case)'!AL15-'CFS (Base-Case)'!AL15</f>
        <v>-17.23248692592847</v>
      </c>
      <c r="AM15" s="327">
        <f>'CFS (Bull-Case)'!AM15-'CFS (Base-Case)'!AM15</f>
        <v>-3.2902704478531177</v>
      </c>
      <c r="AN15" s="327">
        <f>'CFS (Bull-Case)'!AN15-'CFS (Base-Case)'!AN15</f>
        <v>-0.13053765278732499</v>
      </c>
      <c r="AO15" s="327">
        <f>'CFS (Bull-Case)'!AO15-'CFS (Base-Case)'!AO15</f>
        <v>-6.7070489433046987</v>
      </c>
      <c r="AP15" s="327">
        <f>'CFS (Bull-Case)'!AP15-'CFS (Base-Case)'!AP15</f>
        <v>6.7995964104707127</v>
      </c>
      <c r="AQ15" s="328">
        <f>'CFS (Bull-Case)'!AQ15-'CFS (Base-Case)'!AQ15</f>
        <v>-3.3282606334744287</v>
      </c>
      <c r="AR15" s="327">
        <f>'CFS (Bull-Case)'!AR15-'CFS (Base-Case)'!AR15</f>
        <v>-2.8460624843112328</v>
      </c>
      <c r="AS15" s="327">
        <f>'CFS (Bull-Case)'!AS15-'CFS (Base-Case)'!AS15</f>
        <v>0.25042547097496026</v>
      </c>
      <c r="AT15" s="327">
        <f>'CFS (Bull-Case)'!AT15-'CFS (Base-Case)'!AT15</f>
        <v>-6.6417632888153548</v>
      </c>
      <c r="AU15" s="327">
        <f>'CFS (Bull-Case)'!AU15-'CFS (Base-Case)'!AU15</f>
        <v>6.6214714635459586</v>
      </c>
      <c r="AV15" s="328">
        <f>'CFS (Bull-Case)'!AV15-'CFS (Base-Case)'!AV15</f>
        <v>-2.6159288386056687</v>
      </c>
    </row>
    <row r="16" spans="2:48" outlineLevel="1" x14ac:dyDescent="0.3">
      <c r="B16" s="325" t="s">
        <v>216</v>
      </c>
      <c r="C16" s="326"/>
      <c r="D16" s="327">
        <f>'CFS (Bull-Case)'!D16-'CFS (Base-Case)'!D16</f>
        <v>0</v>
      </c>
      <c r="E16" s="327">
        <f>'CFS (Bull-Case)'!E16-'CFS (Base-Case)'!E16</f>
        <v>0</v>
      </c>
      <c r="F16" s="327">
        <f>'CFS (Bull-Case)'!F16-'CFS (Base-Case)'!F16</f>
        <v>0</v>
      </c>
      <c r="G16" s="327">
        <f>'CFS (Bull-Case)'!G16-'CFS (Base-Case)'!G16</f>
        <v>0</v>
      </c>
      <c r="H16" s="328">
        <f>'CFS (Bull-Case)'!H16-'CFS (Base-Case)'!H16</f>
        <v>0</v>
      </c>
      <c r="I16" s="327">
        <f>'CFS (Bull-Case)'!I16-'CFS (Base-Case)'!I16</f>
        <v>0</v>
      </c>
      <c r="J16" s="327">
        <f>'CFS (Bull-Case)'!J16-'CFS (Base-Case)'!J16</f>
        <v>0</v>
      </c>
      <c r="K16" s="327">
        <f>'CFS (Bull-Case)'!K16-'CFS (Base-Case)'!K16</f>
        <v>0</v>
      </c>
      <c r="L16" s="327">
        <f>'CFS (Bull-Case)'!L16-'CFS (Base-Case)'!L16</f>
        <v>0</v>
      </c>
      <c r="M16" s="328">
        <f>'CFS (Bull-Case)'!M16-'CFS (Base-Case)'!M16</f>
        <v>0</v>
      </c>
      <c r="N16" s="327">
        <f>'CFS (Bull-Case)'!N16-'CFS (Base-Case)'!N16</f>
        <v>0</v>
      </c>
      <c r="O16" s="327">
        <f>'CFS (Bull-Case)'!O16-'CFS (Base-Case)'!O16</f>
        <v>0</v>
      </c>
      <c r="P16" s="327">
        <f>'CFS (Bull-Case)'!P16-'CFS (Base-Case)'!P16</f>
        <v>0</v>
      </c>
      <c r="Q16" s="327">
        <f>'CFS (Bull-Case)'!Q16-'CFS (Base-Case)'!Q16</f>
        <v>0</v>
      </c>
      <c r="R16" s="328">
        <f>'CFS (Bull-Case)'!R16-'CFS (Base-Case)'!R16</f>
        <v>0</v>
      </c>
      <c r="S16" s="327">
        <f>'CFS (Bull-Case)'!S16-'CFS (Base-Case)'!S16</f>
        <v>0</v>
      </c>
      <c r="T16" s="327">
        <f>'CFS (Bull-Case)'!T16-'CFS (Base-Case)'!T16</f>
        <v>0</v>
      </c>
      <c r="U16" s="327">
        <f>'CFS (Bull-Case)'!U16-'CFS (Base-Case)'!U16</f>
        <v>0</v>
      </c>
      <c r="V16" s="327">
        <f>'CFS (Bull-Case)'!V16-'CFS (Base-Case)'!V16</f>
        <v>0</v>
      </c>
      <c r="W16" s="328">
        <f>'CFS (Bull-Case)'!W16-'CFS (Base-Case)'!W16</f>
        <v>0</v>
      </c>
      <c r="X16" s="327">
        <f>'CFS (Bull-Case)'!X16-'CFS (Base-Case)'!X16</f>
        <v>-16.954732241472129</v>
      </c>
      <c r="Y16" s="327">
        <f>'CFS (Bull-Case)'!Y16-'CFS (Base-Case)'!Y16</f>
        <v>-1.5632889607279594</v>
      </c>
      <c r="Z16" s="327">
        <f>'CFS (Bull-Case)'!Z16-'CFS (Base-Case)'!Z16</f>
        <v>-3.8010782724250021</v>
      </c>
      <c r="AA16" s="327">
        <f>'CFS (Bull-Case)'!AA16-'CFS (Base-Case)'!AA16</f>
        <v>4.3751348383802906</v>
      </c>
      <c r="AB16" s="328">
        <f>'CFS (Bull-Case)'!AB16-'CFS (Base-Case)'!AB16</f>
        <v>-17.9439646362448</v>
      </c>
      <c r="AC16" s="327">
        <f>'CFS (Bull-Case)'!AC16-'CFS (Base-Case)'!AC16</f>
        <v>-13.862347206150389</v>
      </c>
      <c r="AD16" s="327">
        <f>'CFS (Bull-Case)'!AD16-'CFS (Base-Case)'!AD16</f>
        <v>-3.8365168971849926</v>
      </c>
      <c r="AE16" s="327">
        <f>'CFS (Bull-Case)'!AE16-'CFS (Base-Case)'!AE16</f>
        <v>-3.7796031933030463</v>
      </c>
      <c r="AF16" s="327">
        <f>'CFS (Bull-Case)'!AF16-'CFS (Base-Case)'!AF16</f>
        <v>5.1266430723817393</v>
      </c>
      <c r="AG16" s="328">
        <f>'CFS (Bull-Case)'!AG16-'CFS (Base-Case)'!AG16</f>
        <v>-16.351824224256688</v>
      </c>
      <c r="AH16" s="327">
        <f>'CFS (Bull-Case)'!AH16-'CFS (Base-Case)'!AH16</f>
        <v>-14.60257158280001</v>
      </c>
      <c r="AI16" s="327">
        <f>'CFS (Bull-Case)'!AI16-'CFS (Base-Case)'!AI16</f>
        <v>-7.4229068290069335</v>
      </c>
      <c r="AJ16" s="327">
        <f>'CFS (Bull-Case)'!AJ16-'CFS (Base-Case)'!AJ16</f>
        <v>-7.87179790644268</v>
      </c>
      <c r="AK16" s="327">
        <f>'CFS (Bull-Case)'!AK16-'CFS (Base-Case)'!AK16</f>
        <v>9.1432782940346442</v>
      </c>
      <c r="AL16" s="328">
        <f>'CFS (Bull-Case)'!AL16-'CFS (Base-Case)'!AL16</f>
        <v>-20.75399802421498</v>
      </c>
      <c r="AM16" s="327">
        <f>'CFS (Bull-Case)'!AM16-'CFS (Base-Case)'!AM16</f>
        <v>1.5860161460454947</v>
      </c>
      <c r="AN16" s="327">
        <f>'CFS (Bull-Case)'!AN16-'CFS (Base-Case)'!AN16</f>
        <v>-7.3672394371419614</v>
      </c>
      <c r="AO16" s="327">
        <f>'CFS (Bull-Case)'!AO16-'CFS (Base-Case)'!AO16</f>
        <v>-8.6457790336562539</v>
      </c>
      <c r="AP16" s="327">
        <f>'CFS (Bull-Case)'!AP16-'CFS (Base-Case)'!AP16</f>
        <v>10.005711507293199</v>
      </c>
      <c r="AQ16" s="328">
        <f>'CFS (Bull-Case)'!AQ16-'CFS (Base-Case)'!AQ16</f>
        <v>-4.4212908174595213</v>
      </c>
      <c r="AR16" s="327">
        <f>'CFS (Bull-Case)'!AR16-'CFS (Base-Case)'!AR16</f>
        <v>2.5007250428066072</v>
      </c>
      <c r="AS16" s="327">
        <f>'CFS (Bull-Case)'!AS16-'CFS (Base-Case)'!AS16</f>
        <v>-7.829967299200689</v>
      </c>
      <c r="AT16" s="327">
        <f>'CFS (Bull-Case)'!AT16-'CFS (Base-Case)'!AT16</f>
        <v>-8.2483217949743448</v>
      </c>
      <c r="AU16" s="327">
        <f>'CFS (Bull-Case)'!AU16-'CFS (Base-Case)'!AU16</f>
        <v>10.124224590257654</v>
      </c>
      <c r="AV16" s="328">
        <f>'CFS (Bull-Case)'!AV16-'CFS (Base-Case)'!AV16</f>
        <v>-3.4533394611107724</v>
      </c>
    </row>
    <row r="17" spans="2:48" outlineLevel="1" x14ac:dyDescent="0.3">
      <c r="B17" s="485" t="s">
        <v>278</v>
      </c>
      <c r="C17" s="486"/>
      <c r="D17" s="327">
        <f>'CFS (Bull-Case)'!D17-'CFS (Base-Case)'!D17</f>
        <v>0</v>
      </c>
      <c r="E17" s="327">
        <f>'CFS (Bull-Case)'!E17-'CFS (Base-Case)'!E17</f>
        <v>0</v>
      </c>
      <c r="F17" s="327">
        <f>'CFS (Bull-Case)'!F17-'CFS (Base-Case)'!F17</f>
        <v>0</v>
      </c>
      <c r="G17" s="327">
        <f>'CFS (Bull-Case)'!G17-'CFS (Base-Case)'!G17</f>
        <v>0</v>
      </c>
      <c r="H17" s="328">
        <f>'CFS (Bull-Case)'!H17-'CFS (Base-Case)'!H17</f>
        <v>0</v>
      </c>
      <c r="I17" s="327">
        <f>'CFS (Bull-Case)'!I17-'CFS (Base-Case)'!I17</f>
        <v>0</v>
      </c>
      <c r="J17" s="327">
        <f>'CFS (Bull-Case)'!J17-'CFS (Base-Case)'!J17</f>
        <v>0</v>
      </c>
      <c r="K17" s="327">
        <f>'CFS (Bull-Case)'!K17-'CFS (Base-Case)'!K17</f>
        <v>0</v>
      </c>
      <c r="L17" s="327">
        <f>'CFS (Bull-Case)'!L17-'CFS (Base-Case)'!L17</f>
        <v>0</v>
      </c>
      <c r="M17" s="328">
        <f>'CFS (Bull-Case)'!M17-'CFS (Base-Case)'!M17</f>
        <v>0</v>
      </c>
      <c r="N17" s="327">
        <f>'CFS (Bull-Case)'!N17-'CFS (Base-Case)'!N17</f>
        <v>0</v>
      </c>
      <c r="O17" s="327">
        <f>'CFS (Bull-Case)'!O17-'CFS (Base-Case)'!O17</f>
        <v>0</v>
      </c>
      <c r="P17" s="327">
        <f>'CFS (Bull-Case)'!P17-'CFS (Base-Case)'!P17</f>
        <v>0</v>
      </c>
      <c r="Q17" s="327">
        <f>'CFS (Bull-Case)'!Q17-'CFS (Base-Case)'!Q17</f>
        <v>0</v>
      </c>
      <c r="R17" s="328">
        <f>'CFS (Bull-Case)'!R17-'CFS (Base-Case)'!R17</f>
        <v>0</v>
      </c>
      <c r="S17" s="327">
        <f>'CFS (Bull-Case)'!S17-'CFS (Base-Case)'!S17</f>
        <v>0</v>
      </c>
      <c r="T17" s="327">
        <f>'CFS (Bull-Case)'!T17-'CFS (Base-Case)'!T17</f>
        <v>0</v>
      </c>
      <c r="U17" s="327">
        <f>'CFS (Bull-Case)'!U17-'CFS (Base-Case)'!U17</f>
        <v>0</v>
      </c>
      <c r="V17" s="327">
        <f>'CFS (Bull-Case)'!V17-'CFS (Base-Case)'!V17</f>
        <v>0</v>
      </c>
      <c r="W17" s="328">
        <f>'CFS (Bull-Case)'!W17-'CFS (Base-Case)'!W17</f>
        <v>0</v>
      </c>
      <c r="X17" s="327">
        <f>'CFS (Bull-Case)'!X17-'CFS (Base-Case)'!X17</f>
        <v>0</v>
      </c>
      <c r="Y17" s="327">
        <f>'CFS (Bull-Case)'!Y17-'CFS (Base-Case)'!Y17</f>
        <v>0</v>
      </c>
      <c r="Z17" s="327">
        <f>'CFS (Bull-Case)'!Z17-'CFS (Base-Case)'!Z17</f>
        <v>0</v>
      </c>
      <c r="AA17" s="327">
        <f>'CFS (Bull-Case)'!AA17-'CFS (Base-Case)'!AA17</f>
        <v>0</v>
      </c>
      <c r="AB17" s="328">
        <f>'CFS (Bull-Case)'!AB17-'CFS (Base-Case)'!AB17</f>
        <v>0</v>
      </c>
      <c r="AC17" s="327">
        <f>'CFS (Bull-Case)'!AC17-'CFS (Base-Case)'!AC17</f>
        <v>0</v>
      </c>
      <c r="AD17" s="327">
        <f>'CFS (Bull-Case)'!AD17-'CFS (Base-Case)'!AD17</f>
        <v>0</v>
      </c>
      <c r="AE17" s="327">
        <f>'CFS (Bull-Case)'!AE17-'CFS (Base-Case)'!AE17</f>
        <v>0</v>
      </c>
      <c r="AF17" s="327">
        <f>'CFS (Bull-Case)'!AF17-'CFS (Base-Case)'!AF17</f>
        <v>0</v>
      </c>
      <c r="AG17" s="328">
        <f>'CFS (Bull-Case)'!AG17-'CFS (Base-Case)'!AG17</f>
        <v>0</v>
      </c>
      <c r="AH17" s="327">
        <f>'CFS (Bull-Case)'!AH17-'CFS (Base-Case)'!AH17</f>
        <v>0</v>
      </c>
      <c r="AI17" s="327">
        <f>'CFS (Bull-Case)'!AI17-'CFS (Base-Case)'!AI17</f>
        <v>0</v>
      </c>
      <c r="AJ17" s="327">
        <f>'CFS (Bull-Case)'!AJ17-'CFS (Base-Case)'!AJ17</f>
        <v>0</v>
      </c>
      <c r="AK17" s="327">
        <f>'CFS (Bull-Case)'!AK17-'CFS (Base-Case)'!AK17</f>
        <v>0</v>
      </c>
      <c r="AL17" s="328">
        <f>'CFS (Bull-Case)'!AL17-'CFS (Base-Case)'!AL17</f>
        <v>0</v>
      </c>
      <c r="AM17" s="327">
        <f>'CFS (Bull-Case)'!AM17-'CFS (Base-Case)'!AM17</f>
        <v>0</v>
      </c>
      <c r="AN17" s="327">
        <f>'CFS (Bull-Case)'!AN17-'CFS (Base-Case)'!AN17</f>
        <v>0</v>
      </c>
      <c r="AO17" s="327">
        <f>'CFS (Bull-Case)'!AO17-'CFS (Base-Case)'!AO17</f>
        <v>0</v>
      </c>
      <c r="AP17" s="327">
        <f>'CFS (Bull-Case)'!AP17-'CFS (Base-Case)'!AP17</f>
        <v>0</v>
      </c>
      <c r="AQ17" s="328">
        <f>'CFS (Bull-Case)'!AQ17-'CFS (Base-Case)'!AQ17</f>
        <v>0</v>
      </c>
      <c r="AR17" s="327">
        <f>'CFS (Bull-Case)'!AR17-'CFS (Base-Case)'!AR17</f>
        <v>0</v>
      </c>
      <c r="AS17" s="327">
        <f>'CFS (Bull-Case)'!AS17-'CFS (Base-Case)'!AS17</f>
        <v>0</v>
      </c>
      <c r="AT17" s="327">
        <f>'CFS (Bull-Case)'!AT17-'CFS (Base-Case)'!AT17</f>
        <v>0</v>
      </c>
      <c r="AU17" s="327">
        <f>'CFS (Bull-Case)'!AU17-'CFS (Base-Case)'!AU17</f>
        <v>0</v>
      </c>
      <c r="AV17" s="328">
        <f>'CFS (Bull-Case)'!AV17-'CFS (Base-Case)'!AV17</f>
        <v>0</v>
      </c>
    </row>
    <row r="18" spans="2:48" outlineLevel="1" x14ac:dyDescent="0.3">
      <c r="B18" s="485" t="s">
        <v>229</v>
      </c>
      <c r="C18" s="486"/>
      <c r="D18" s="327">
        <f>'CFS (Bull-Case)'!D18-'CFS (Base-Case)'!D18</f>
        <v>0</v>
      </c>
      <c r="E18" s="327">
        <f>'CFS (Bull-Case)'!E18-'CFS (Base-Case)'!E18</f>
        <v>0</v>
      </c>
      <c r="F18" s="327">
        <f>'CFS (Bull-Case)'!F18-'CFS (Base-Case)'!F18</f>
        <v>0</v>
      </c>
      <c r="G18" s="327">
        <f>'CFS (Bull-Case)'!G18-'CFS (Base-Case)'!G18</f>
        <v>0</v>
      </c>
      <c r="H18" s="328">
        <f>'CFS (Bull-Case)'!H18-'CFS (Base-Case)'!H18</f>
        <v>0</v>
      </c>
      <c r="I18" s="327">
        <f>'CFS (Bull-Case)'!I18-'CFS (Base-Case)'!I18</f>
        <v>0</v>
      </c>
      <c r="J18" s="327">
        <f>'CFS (Bull-Case)'!J18-'CFS (Base-Case)'!J18</f>
        <v>0</v>
      </c>
      <c r="K18" s="327">
        <f>'CFS (Bull-Case)'!K18-'CFS (Base-Case)'!K18</f>
        <v>0</v>
      </c>
      <c r="L18" s="327">
        <f>'CFS (Bull-Case)'!L18-'CFS (Base-Case)'!L18</f>
        <v>0</v>
      </c>
      <c r="M18" s="328">
        <f>'CFS (Bull-Case)'!M18-'CFS (Base-Case)'!M18</f>
        <v>0</v>
      </c>
      <c r="N18" s="327">
        <f>'CFS (Bull-Case)'!N18-'CFS (Base-Case)'!N18</f>
        <v>0</v>
      </c>
      <c r="O18" s="327">
        <f>'CFS (Bull-Case)'!O18-'CFS (Base-Case)'!O18</f>
        <v>0</v>
      </c>
      <c r="P18" s="327">
        <f>'CFS (Bull-Case)'!P18-'CFS (Base-Case)'!P18</f>
        <v>0</v>
      </c>
      <c r="Q18" s="327">
        <f>'CFS (Bull-Case)'!Q18-'CFS (Base-Case)'!Q18</f>
        <v>0</v>
      </c>
      <c r="R18" s="328">
        <f>'CFS (Bull-Case)'!R18-'CFS (Base-Case)'!R18</f>
        <v>0</v>
      </c>
      <c r="S18" s="327">
        <f>'CFS (Bull-Case)'!S18-'CFS (Base-Case)'!S18</f>
        <v>0</v>
      </c>
      <c r="T18" s="327">
        <f>'CFS (Bull-Case)'!T18-'CFS (Base-Case)'!T18</f>
        <v>0</v>
      </c>
      <c r="U18" s="327">
        <f>'CFS (Bull-Case)'!U18-'CFS (Base-Case)'!U18</f>
        <v>0</v>
      </c>
      <c r="V18" s="327">
        <f>'CFS (Bull-Case)'!V18-'CFS (Base-Case)'!V18</f>
        <v>0</v>
      </c>
      <c r="W18" s="328">
        <f>'CFS (Bull-Case)'!W18-'CFS (Base-Case)'!W18</f>
        <v>0</v>
      </c>
      <c r="X18" s="327">
        <f>'CFS (Bull-Case)'!X18-'CFS (Base-Case)'!X18</f>
        <v>12.846533383100677</v>
      </c>
      <c r="Y18" s="327">
        <f>'CFS (Bull-Case)'!Y18-'CFS (Base-Case)'!Y18</f>
        <v>-0.20761153667535837</v>
      </c>
      <c r="Z18" s="327">
        <f>'CFS (Bull-Case)'!Z18-'CFS (Base-Case)'!Z18</f>
        <v>2.0903235725136255</v>
      </c>
      <c r="AA18" s="327">
        <f>'CFS (Bull-Case)'!AA18-'CFS (Base-Case)'!AA18</f>
        <v>-2.0226037669328889</v>
      </c>
      <c r="AB18" s="328">
        <f>'CFS (Bull-Case)'!AB18-'CFS (Base-Case)'!AB18</f>
        <v>12.706641652006056</v>
      </c>
      <c r="AC18" s="327">
        <f>'CFS (Bull-Case)'!AC18-'CFS (Base-Case)'!AC18</f>
        <v>11.249134639932663</v>
      </c>
      <c r="AD18" s="327">
        <f>'CFS (Bull-Case)'!AD18-'CFS (Base-Case)'!AD18</f>
        <v>0.54501278061025005</v>
      </c>
      <c r="AE18" s="327">
        <f>'CFS (Bull-Case)'!AE18-'CFS (Base-Case)'!AE18</f>
        <v>2.9482531269209176</v>
      </c>
      <c r="AF18" s="327">
        <f>'CFS (Bull-Case)'!AF18-'CFS (Base-Case)'!AF18</f>
        <v>-2.4277023109755191</v>
      </c>
      <c r="AG18" s="328">
        <f>'CFS (Bull-Case)'!AG18-'CFS (Base-Case)'!AG18</f>
        <v>12.314698236488312</v>
      </c>
      <c r="AH18" s="327">
        <f>'CFS (Bull-Case)'!AH18-'CFS (Base-Case)'!AH18</f>
        <v>12.439838481450806</v>
      </c>
      <c r="AI18" s="327">
        <f>'CFS (Bull-Case)'!AI18-'CFS (Base-Case)'!AI18</f>
        <v>1.2535453459809105</v>
      </c>
      <c r="AJ18" s="327">
        <f>'CFS (Bull-Case)'!AJ18-'CFS (Base-Case)'!AJ18</f>
        <v>5.2458763478250603</v>
      </c>
      <c r="AK18" s="327">
        <f>'CFS (Bull-Case)'!AK18-'CFS (Base-Case)'!AK18</f>
        <v>-4.2901285413761343</v>
      </c>
      <c r="AL18" s="328">
        <f>'CFS (Bull-Case)'!AL18-'CFS (Base-Case)'!AL18</f>
        <v>14.649131633880643</v>
      </c>
      <c r="AM18" s="327">
        <f>'CFS (Bull-Case)'!AM18-'CFS (Base-Case)'!AM18</f>
        <v>0.90817556729280113</v>
      </c>
      <c r="AN18" s="327">
        <f>'CFS (Bull-Case)'!AN18-'CFS (Base-Case)'!AN18</f>
        <v>1.1364112328403735</v>
      </c>
      <c r="AO18" s="327">
        <f>'CFS (Bull-Case)'!AO18-'CFS (Base-Case)'!AO18</f>
        <v>5.5585931114740106</v>
      </c>
      <c r="AP18" s="327">
        <f>'CFS (Bull-Case)'!AP18-'CFS (Base-Case)'!AP18</f>
        <v>-4.4872634857049434</v>
      </c>
      <c r="AQ18" s="328">
        <f>'CFS (Bull-Case)'!AQ18-'CFS (Base-Case)'!AQ18</f>
        <v>3.1159164259022418</v>
      </c>
      <c r="AR18" s="327">
        <f>'CFS (Bull-Case)'!AR18-'CFS (Base-Case)'!AR18</f>
        <v>0.47859680660917547</v>
      </c>
      <c r="AS18" s="327">
        <f>'CFS (Bull-Case)'!AS18-'CFS (Base-Case)'!AS18</f>
        <v>1.2428119188443816</v>
      </c>
      <c r="AT18" s="327">
        <f>'CFS (Bull-Case)'!AT18-'CFS (Base-Case)'!AT18</f>
        <v>5.6925973469574274</v>
      </c>
      <c r="AU18" s="327">
        <f>'CFS (Bull-Case)'!AU18-'CFS (Base-Case)'!AU18</f>
        <v>-4.6915208970808635</v>
      </c>
      <c r="AV18" s="328">
        <f>'CFS (Bull-Case)'!AV18-'CFS (Base-Case)'!AV18</f>
        <v>2.7224851753301209</v>
      </c>
    </row>
    <row r="19" spans="2:48" outlineLevel="1" x14ac:dyDescent="0.3">
      <c r="B19" s="325" t="s">
        <v>234</v>
      </c>
      <c r="C19" s="326"/>
      <c r="D19" s="327">
        <f>'CFS (Bull-Case)'!D19-'CFS (Base-Case)'!D19</f>
        <v>0</v>
      </c>
      <c r="E19" s="327">
        <f>'CFS (Bull-Case)'!E19-'CFS (Base-Case)'!E19</f>
        <v>0</v>
      </c>
      <c r="F19" s="327">
        <f>'CFS (Bull-Case)'!F19-'CFS (Base-Case)'!F19</f>
        <v>0</v>
      </c>
      <c r="G19" s="327">
        <f>'CFS (Bull-Case)'!G19-'CFS (Base-Case)'!G19</f>
        <v>0</v>
      </c>
      <c r="H19" s="328">
        <f>'CFS (Bull-Case)'!H19-'CFS (Base-Case)'!H19</f>
        <v>0</v>
      </c>
      <c r="I19" s="327">
        <f>'CFS (Bull-Case)'!I19-'CFS (Base-Case)'!I19</f>
        <v>0</v>
      </c>
      <c r="J19" s="327">
        <f>'CFS (Bull-Case)'!J19-'CFS (Base-Case)'!J19</f>
        <v>0</v>
      </c>
      <c r="K19" s="327">
        <f>'CFS (Bull-Case)'!K19-'CFS (Base-Case)'!K19</f>
        <v>0</v>
      </c>
      <c r="L19" s="327">
        <f>'CFS (Bull-Case)'!L19-'CFS (Base-Case)'!L19</f>
        <v>0</v>
      </c>
      <c r="M19" s="328">
        <f>'CFS (Bull-Case)'!M19-'CFS (Base-Case)'!M19</f>
        <v>0</v>
      </c>
      <c r="N19" s="327">
        <f>'CFS (Bull-Case)'!N19-'CFS (Base-Case)'!N19</f>
        <v>0</v>
      </c>
      <c r="O19" s="327">
        <f>'CFS (Bull-Case)'!O19-'CFS (Base-Case)'!O19</f>
        <v>0</v>
      </c>
      <c r="P19" s="327">
        <f>'CFS (Bull-Case)'!P19-'CFS (Base-Case)'!P19</f>
        <v>0</v>
      </c>
      <c r="Q19" s="327">
        <f>'CFS (Bull-Case)'!Q19-'CFS (Base-Case)'!Q19</f>
        <v>0</v>
      </c>
      <c r="R19" s="328">
        <f>'CFS (Bull-Case)'!R19-'CFS (Base-Case)'!R19</f>
        <v>0</v>
      </c>
      <c r="S19" s="327">
        <f>'CFS (Bull-Case)'!S19-'CFS (Base-Case)'!S19</f>
        <v>0</v>
      </c>
      <c r="T19" s="327">
        <f>'CFS (Bull-Case)'!T19-'CFS (Base-Case)'!T19</f>
        <v>0</v>
      </c>
      <c r="U19" s="327">
        <f>'CFS (Bull-Case)'!U19-'CFS (Base-Case)'!U19</f>
        <v>0</v>
      </c>
      <c r="V19" s="327">
        <f>'CFS (Bull-Case)'!V19-'CFS (Base-Case)'!V19</f>
        <v>0</v>
      </c>
      <c r="W19" s="328">
        <f>'CFS (Bull-Case)'!W19-'CFS (Base-Case)'!W19</f>
        <v>0</v>
      </c>
      <c r="X19" s="327">
        <f>'CFS (Bull-Case)'!X19-'CFS (Base-Case)'!X19</f>
        <v>0</v>
      </c>
      <c r="Y19" s="327">
        <f>'CFS (Bull-Case)'!Y19-'CFS (Base-Case)'!Y19</f>
        <v>0</v>
      </c>
      <c r="Z19" s="327">
        <f>'CFS (Bull-Case)'!Z19-'CFS (Base-Case)'!Z19</f>
        <v>0</v>
      </c>
      <c r="AA19" s="327">
        <f>'CFS (Bull-Case)'!AA19-'CFS (Base-Case)'!AA19</f>
        <v>0</v>
      </c>
      <c r="AB19" s="328">
        <f>'CFS (Bull-Case)'!AB19-'CFS (Base-Case)'!AB19</f>
        <v>0</v>
      </c>
      <c r="AC19" s="327">
        <f>'CFS (Bull-Case)'!AC19-'CFS (Base-Case)'!AC19</f>
        <v>0</v>
      </c>
      <c r="AD19" s="327">
        <f>'CFS (Bull-Case)'!AD19-'CFS (Base-Case)'!AD19</f>
        <v>0</v>
      </c>
      <c r="AE19" s="327">
        <f>'CFS (Bull-Case)'!AE19-'CFS (Base-Case)'!AE19</f>
        <v>0</v>
      </c>
      <c r="AF19" s="327">
        <f>'CFS (Bull-Case)'!AF19-'CFS (Base-Case)'!AF19</f>
        <v>0</v>
      </c>
      <c r="AG19" s="328">
        <f>'CFS (Bull-Case)'!AG19-'CFS (Base-Case)'!AG19</f>
        <v>0</v>
      </c>
      <c r="AH19" s="327">
        <f>'CFS (Bull-Case)'!AH19-'CFS (Base-Case)'!AH19</f>
        <v>0</v>
      </c>
      <c r="AI19" s="327">
        <f>'CFS (Bull-Case)'!AI19-'CFS (Base-Case)'!AI19</f>
        <v>0</v>
      </c>
      <c r="AJ19" s="327">
        <f>'CFS (Bull-Case)'!AJ19-'CFS (Base-Case)'!AJ19</f>
        <v>0</v>
      </c>
      <c r="AK19" s="327">
        <f>'CFS (Bull-Case)'!AK19-'CFS (Base-Case)'!AK19</f>
        <v>0</v>
      </c>
      <c r="AL19" s="328">
        <f>'CFS (Bull-Case)'!AL19-'CFS (Base-Case)'!AL19</f>
        <v>0</v>
      </c>
      <c r="AM19" s="327">
        <f>'CFS (Bull-Case)'!AM19-'CFS (Base-Case)'!AM19</f>
        <v>0</v>
      </c>
      <c r="AN19" s="327">
        <f>'CFS (Bull-Case)'!AN19-'CFS (Base-Case)'!AN19</f>
        <v>0</v>
      </c>
      <c r="AO19" s="327">
        <f>'CFS (Bull-Case)'!AO19-'CFS (Base-Case)'!AO19</f>
        <v>0</v>
      </c>
      <c r="AP19" s="327">
        <f>'CFS (Bull-Case)'!AP19-'CFS (Base-Case)'!AP19</f>
        <v>0</v>
      </c>
      <c r="AQ19" s="328">
        <f>'CFS (Bull-Case)'!AQ19-'CFS (Base-Case)'!AQ19</f>
        <v>0</v>
      </c>
      <c r="AR19" s="327">
        <f>'CFS (Bull-Case)'!AR19-'CFS (Base-Case)'!AR19</f>
        <v>0</v>
      </c>
      <c r="AS19" s="327">
        <f>'CFS (Bull-Case)'!AS19-'CFS (Base-Case)'!AS19</f>
        <v>0</v>
      </c>
      <c r="AT19" s="327">
        <f>'CFS (Bull-Case)'!AT19-'CFS (Base-Case)'!AT19</f>
        <v>0</v>
      </c>
      <c r="AU19" s="327">
        <f>'CFS (Bull-Case)'!AU19-'CFS (Base-Case)'!AU19</f>
        <v>0</v>
      </c>
      <c r="AV19" s="328">
        <f>'CFS (Bull-Case)'!AV19-'CFS (Base-Case)'!AV19</f>
        <v>0</v>
      </c>
    </row>
    <row r="20" spans="2:48" outlineLevel="1" x14ac:dyDescent="0.3">
      <c r="B20" s="325" t="s">
        <v>279</v>
      </c>
      <c r="C20" s="326"/>
      <c r="D20" s="327">
        <f>'CFS (Bull-Case)'!D20-'CFS (Base-Case)'!D20</f>
        <v>0</v>
      </c>
      <c r="E20" s="327">
        <f>'CFS (Bull-Case)'!E20-'CFS (Base-Case)'!E20</f>
        <v>0</v>
      </c>
      <c r="F20" s="327">
        <f>'CFS (Bull-Case)'!F20-'CFS (Base-Case)'!F20</f>
        <v>0</v>
      </c>
      <c r="G20" s="327">
        <f>'CFS (Bull-Case)'!G20-'CFS (Base-Case)'!G20</f>
        <v>0</v>
      </c>
      <c r="H20" s="328">
        <f>'CFS (Bull-Case)'!H20-'CFS (Base-Case)'!H20</f>
        <v>0</v>
      </c>
      <c r="I20" s="327">
        <f>'CFS (Bull-Case)'!I20-'CFS (Base-Case)'!I20</f>
        <v>0</v>
      </c>
      <c r="J20" s="327">
        <f>'CFS (Bull-Case)'!J20-'CFS (Base-Case)'!J20</f>
        <v>0</v>
      </c>
      <c r="K20" s="327">
        <f>'CFS (Bull-Case)'!K20-'CFS (Base-Case)'!K20</f>
        <v>0</v>
      </c>
      <c r="L20" s="327">
        <f>'CFS (Bull-Case)'!L20-'CFS (Base-Case)'!L20</f>
        <v>0</v>
      </c>
      <c r="M20" s="328">
        <f>'CFS (Bull-Case)'!M20-'CFS (Base-Case)'!M20</f>
        <v>0</v>
      </c>
      <c r="N20" s="327">
        <f>'CFS (Bull-Case)'!N20-'CFS (Base-Case)'!N20</f>
        <v>0</v>
      </c>
      <c r="O20" s="327">
        <f>'CFS (Bull-Case)'!O20-'CFS (Base-Case)'!O20</f>
        <v>0</v>
      </c>
      <c r="P20" s="327">
        <f>'CFS (Bull-Case)'!P20-'CFS (Base-Case)'!P20</f>
        <v>0</v>
      </c>
      <c r="Q20" s="327">
        <f>'CFS (Bull-Case)'!Q20-'CFS (Base-Case)'!Q20</f>
        <v>0</v>
      </c>
      <c r="R20" s="328">
        <f>'CFS (Bull-Case)'!R20-'CFS (Base-Case)'!R20</f>
        <v>0</v>
      </c>
      <c r="S20" s="327">
        <f>'CFS (Bull-Case)'!S20-'CFS (Base-Case)'!S20</f>
        <v>0</v>
      </c>
      <c r="T20" s="327">
        <f>'CFS (Bull-Case)'!T20-'CFS (Base-Case)'!T20</f>
        <v>0</v>
      </c>
      <c r="U20" s="327">
        <f>'CFS (Bull-Case)'!U20-'CFS (Base-Case)'!U20</f>
        <v>0</v>
      </c>
      <c r="V20" s="327">
        <f>'CFS (Bull-Case)'!V20-'CFS (Base-Case)'!V20</f>
        <v>0</v>
      </c>
      <c r="W20" s="328">
        <f>'CFS (Bull-Case)'!W20-'CFS (Base-Case)'!W20</f>
        <v>0</v>
      </c>
      <c r="X20" s="327">
        <f>'CFS (Bull-Case)'!X20-'CFS (Base-Case)'!X20</f>
        <v>0</v>
      </c>
      <c r="Y20" s="327">
        <f>'CFS (Bull-Case)'!Y20-'CFS (Base-Case)'!Y20</f>
        <v>0</v>
      </c>
      <c r="Z20" s="327">
        <f>'CFS (Bull-Case)'!Z20-'CFS (Base-Case)'!Z20</f>
        <v>0</v>
      </c>
      <c r="AA20" s="327">
        <f>'CFS (Bull-Case)'!AA20-'CFS (Base-Case)'!AA20</f>
        <v>0</v>
      </c>
      <c r="AB20" s="328">
        <f>'CFS (Bull-Case)'!AB20-'CFS (Base-Case)'!AB20</f>
        <v>0</v>
      </c>
      <c r="AC20" s="327">
        <f>'CFS (Bull-Case)'!AC20-'CFS (Base-Case)'!AC20</f>
        <v>0</v>
      </c>
      <c r="AD20" s="327">
        <f>'CFS (Bull-Case)'!AD20-'CFS (Base-Case)'!AD20</f>
        <v>0</v>
      </c>
      <c r="AE20" s="327">
        <f>'CFS (Bull-Case)'!AE20-'CFS (Base-Case)'!AE20</f>
        <v>0</v>
      </c>
      <c r="AF20" s="327">
        <f>'CFS (Bull-Case)'!AF20-'CFS (Base-Case)'!AF20</f>
        <v>0</v>
      </c>
      <c r="AG20" s="328">
        <f>'CFS (Bull-Case)'!AG20-'CFS (Base-Case)'!AG20</f>
        <v>0</v>
      </c>
      <c r="AH20" s="327">
        <f>'CFS (Bull-Case)'!AH20-'CFS (Base-Case)'!AH20</f>
        <v>0</v>
      </c>
      <c r="AI20" s="327">
        <f>'CFS (Bull-Case)'!AI20-'CFS (Base-Case)'!AI20</f>
        <v>0</v>
      </c>
      <c r="AJ20" s="327">
        <f>'CFS (Bull-Case)'!AJ20-'CFS (Base-Case)'!AJ20</f>
        <v>0</v>
      </c>
      <c r="AK20" s="327">
        <f>'CFS (Bull-Case)'!AK20-'CFS (Base-Case)'!AK20</f>
        <v>0</v>
      </c>
      <c r="AL20" s="328">
        <f>'CFS (Bull-Case)'!AL20-'CFS (Base-Case)'!AL20</f>
        <v>0</v>
      </c>
      <c r="AM20" s="327">
        <f>'CFS (Bull-Case)'!AM20-'CFS (Base-Case)'!AM20</f>
        <v>0</v>
      </c>
      <c r="AN20" s="327">
        <f>'CFS (Bull-Case)'!AN20-'CFS (Base-Case)'!AN20</f>
        <v>0</v>
      </c>
      <c r="AO20" s="327">
        <f>'CFS (Bull-Case)'!AO20-'CFS (Base-Case)'!AO20</f>
        <v>0</v>
      </c>
      <c r="AP20" s="327">
        <f>'CFS (Bull-Case)'!AP20-'CFS (Base-Case)'!AP20</f>
        <v>0</v>
      </c>
      <c r="AQ20" s="328">
        <f>'CFS (Bull-Case)'!AQ20-'CFS (Base-Case)'!AQ20</f>
        <v>0</v>
      </c>
      <c r="AR20" s="327">
        <f>'CFS (Bull-Case)'!AR20-'CFS (Base-Case)'!AR20</f>
        <v>0</v>
      </c>
      <c r="AS20" s="327">
        <f>'CFS (Bull-Case)'!AS20-'CFS (Base-Case)'!AS20</f>
        <v>0</v>
      </c>
      <c r="AT20" s="327">
        <f>'CFS (Bull-Case)'!AT20-'CFS (Base-Case)'!AT20</f>
        <v>0</v>
      </c>
      <c r="AU20" s="327">
        <f>'CFS (Bull-Case)'!AU20-'CFS (Base-Case)'!AU20</f>
        <v>0</v>
      </c>
      <c r="AV20" s="328">
        <f>'CFS (Bull-Case)'!AV20-'CFS (Base-Case)'!AV20</f>
        <v>0</v>
      </c>
    </row>
    <row r="21" spans="2:48" ht="16.2" outlineLevel="1" x14ac:dyDescent="0.45">
      <c r="B21" s="485" t="s">
        <v>280</v>
      </c>
      <c r="C21" s="486"/>
      <c r="D21" s="329">
        <f>'CFS (Bull-Case)'!D21-'CFS (Base-Case)'!D21</f>
        <v>0</v>
      </c>
      <c r="E21" s="329">
        <f>'CFS (Bull-Case)'!E21-'CFS (Base-Case)'!E21</f>
        <v>0</v>
      </c>
      <c r="F21" s="329">
        <f>'CFS (Bull-Case)'!F21-'CFS (Base-Case)'!F21</f>
        <v>0</v>
      </c>
      <c r="G21" s="329">
        <f>'CFS (Bull-Case)'!G21-'CFS (Base-Case)'!G21</f>
        <v>0</v>
      </c>
      <c r="H21" s="330">
        <f>'CFS (Bull-Case)'!H21-'CFS (Base-Case)'!H21</f>
        <v>0</v>
      </c>
      <c r="I21" s="329">
        <f>'CFS (Bull-Case)'!I21-'CFS (Base-Case)'!I21</f>
        <v>0</v>
      </c>
      <c r="J21" s="329">
        <f>'CFS (Bull-Case)'!J21-'CFS (Base-Case)'!J21</f>
        <v>0</v>
      </c>
      <c r="K21" s="329">
        <f>'CFS (Bull-Case)'!K21-'CFS (Base-Case)'!K21</f>
        <v>0</v>
      </c>
      <c r="L21" s="329">
        <f>'CFS (Bull-Case)'!L21-'CFS (Base-Case)'!L21</f>
        <v>0</v>
      </c>
      <c r="M21" s="330">
        <f>'CFS (Bull-Case)'!M21-'CFS (Base-Case)'!M21</f>
        <v>0</v>
      </c>
      <c r="N21" s="329">
        <f>'CFS (Bull-Case)'!N21-'CFS (Base-Case)'!N21</f>
        <v>0</v>
      </c>
      <c r="O21" s="329">
        <f>'CFS (Bull-Case)'!O21-'CFS (Base-Case)'!O21</f>
        <v>0</v>
      </c>
      <c r="P21" s="329">
        <f>'CFS (Bull-Case)'!P21-'CFS (Base-Case)'!P21</f>
        <v>0</v>
      </c>
      <c r="Q21" s="329">
        <f>'CFS (Bull-Case)'!Q21-'CFS (Base-Case)'!Q21</f>
        <v>0</v>
      </c>
      <c r="R21" s="330">
        <f>'CFS (Bull-Case)'!R21-'CFS (Base-Case)'!R21</f>
        <v>0</v>
      </c>
      <c r="S21" s="329">
        <f>'CFS (Bull-Case)'!S21-'CFS (Base-Case)'!S21</f>
        <v>0</v>
      </c>
      <c r="T21" s="329">
        <f>'CFS (Bull-Case)'!T21-'CFS (Base-Case)'!T21</f>
        <v>0</v>
      </c>
      <c r="U21" s="329">
        <f>'CFS (Bull-Case)'!U21-'CFS (Base-Case)'!U21</f>
        <v>0</v>
      </c>
      <c r="V21" s="329">
        <f>'CFS (Bull-Case)'!V21-'CFS (Base-Case)'!V21</f>
        <v>0</v>
      </c>
      <c r="W21" s="330">
        <f>'CFS (Bull-Case)'!W21-'CFS (Base-Case)'!W21</f>
        <v>0</v>
      </c>
      <c r="X21" s="329">
        <f>'CFS (Bull-Case)'!X21-'CFS (Base-Case)'!X21</f>
        <v>0</v>
      </c>
      <c r="Y21" s="329">
        <f>'CFS (Bull-Case)'!Y21-'CFS (Base-Case)'!Y21</f>
        <v>0</v>
      </c>
      <c r="Z21" s="329">
        <f>'CFS (Bull-Case)'!Z21-'CFS (Base-Case)'!Z21</f>
        <v>0</v>
      </c>
      <c r="AA21" s="329">
        <f>'CFS (Bull-Case)'!AA21-'CFS (Base-Case)'!AA21</f>
        <v>0</v>
      </c>
      <c r="AB21" s="330">
        <f>'CFS (Bull-Case)'!AB21-'CFS (Base-Case)'!AB21</f>
        <v>0</v>
      </c>
      <c r="AC21" s="329">
        <f>'CFS (Bull-Case)'!AC21-'CFS (Base-Case)'!AC21</f>
        <v>0</v>
      </c>
      <c r="AD21" s="329">
        <f>'CFS (Bull-Case)'!AD21-'CFS (Base-Case)'!AD21</f>
        <v>0</v>
      </c>
      <c r="AE21" s="329">
        <f>'CFS (Bull-Case)'!AE21-'CFS (Base-Case)'!AE21</f>
        <v>0</v>
      </c>
      <c r="AF21" s="329">
        <f>'CFS (Bull-Case)'!AF21-'CFS (Base-Case)'!AF21</f>
        <v>0</v>
      </c>
      <c r="AG21" s="330">
        <f>'CFS (Bull-Case)'!AG21-'CFS (Base-Case)'!AG21</f>
        <v>0</v>
      </c>
      <c r="AH21" s="329">
        <f>'CFS (Bull-Case)'!AH21-'CFS (Base-Case)'!AH21</f>
        <v>0</v>
      </c>
      <c r="AI21" s="329">
        <f>'CFS (Bull-Case)'!AI21-'CFS (Base-Case)'!AI21</f>
        <v>0</v>
      </c>
      <c r="AJ21" s="329">
        <f>'CFS (Bull-Case)'!AJ21-'CFS (Base-Case)'!AJ21</f>
        <v>0</v>
      </c>
      <c r="AK21" s="329">
        <f>'CFS (Bull-Case)'!AK21-'CFS (Base-Case)'!AK21</f>
        <v>0</v>
      </c>
      <c r="AL21" s="330">
        <f>'CFS (Bull-Case)'!AL21-'CFS (Base-Case)'!AL21</f>
        <v>0</v>
      </c>
      <c r="AM21" s="329">
        <f>'CFS (Bull-Case)'!AM21-'CFS (Base-Case)'!AM21</f>
        <v>0</v>
      </c>
      <c r="AN21" s="329">
        <f>'CFS (Bull-Case)'!AN21-'CFS (Base-Case)'!AN21</f>
        <v>0</v>
      </c>
      <c r="AO21" s="329">
        <f>'CFS (Bull-Case)'!AO21-'CFS (Base-Case)'!AO21</f>
        <v>0</v>
      </c>
      <c r="AP21" s="329">
        <f>'CFS (Bull-Case)'!AP21-'CFS (Base-Case)'!AP21</f>
        <v>0</v>
      </c>
      <c r="AQ21" s="330">
        <f>'CFS (Bull-Case)'!AQ21-'CFS (Base-Case)'!AQ21</f>
        <v>0</v>
      </c>
      <c r="AR21" s="329">
        <f>'CFS (Bull-Case)'!AR21-'CFS (Base-Case)'!AR21</f>
        <v>0</v>
      </c>
      <c r="AS21" s="329">
        <f>'CFS (Bull-Case)'!AS21-'CFS (Base-Case)'!AS21</f>
        <v>0</v>
      </c>
      <c r="AT21" s="329">
        <f>'CFS (Bull-Case)'!AT21-'CFS (Base-Case)'!AT21</f>
        <v>0</v>
      </c>
      <c r="AU21" s="329">
        <f>'CFS (Bull-Case)'!AU21-'CFS (Base-Case)'!AU21</f>
        <v>0</v>
      </c>
      <c r="AV21" s="330">
        <f>'CFS (Bull-Case)'!AV21-'CFS (Base-Case)'!AV21</f>
        <v>0</v>
      </c>
    </row>
    <row r="22" spans="2:48" outlineLevel="1" x14ac:dyDescent="0.3">
      <c r="B22" s="487" t="s">
        <v>281</v>
      </c>
      <c r="C22" s="488"/>
      <c r="D22" s="331">
        <f>'CFS (Bull-Case)'!D22-'CFS (Base-Case)'!D22</f>
        <v>0</v>
      </c>
      <c r="E22" s="331">
        <f>'CFS (Bull-Case)'!E22-'CFS (Base-Case)'!E22</f>
        <v>0</v>
      </c>
      <c r="F22" s="331">
        <f>'CFS (Bull-Case)'!F22-'CFS (Base-Case)'!F22</f>
        <v>0</v>
      </c>
      <c r="G22" s="331">
        <f>'CFS (Bull-Case)'!G22-'CFS (Base-Case)'!G22</f>
        <v>0</v>
      </c>
      <c r="H22" s="332">
        <f>'CFS (Bull-Case)'!H22-'CFS (Base-Case)'!H22</f>
        <v>0</v>
      </c>
      <c r="I22" s="331">
        <f>'CFS (Bull-Case)'!I22-'CFS (Base-Case)'!I22</f>
        <v>0</v>
      </c>
      <c r="J22" s="331">
        <f>'CFS (Bull-Case)'!J22-'CFS (Base-Case)'!J22</f>
        <v>0</v>
      </c>
      <c r="K22" s="331">
        <f>'CFS (Bull-Case)'!K22-'CFS (Base-Case)'!K22</f>
        <v>0</v>
      </c>
      <c r="L22" s="331">
        <f>'CFS (Bull-Case)'!L22-'CFS (Base-Case)'!L22</f>
        <v>0</v>
      </c>
      <c r="M22" s="332">
        <f>'CFS (Bull-Case)'!M22-'CFS (Base-Case)'!M22</f>
        <v>0</v>
      </c>
      <c r="N22" s="331">
        <f>'CFS (Bull-Case)'!N22-'CFS (Base-Case)'!N22</f>
        <v>0</v>
      </c>
      <c r="O22" s="331">
        <f>'CFS (Bull-Case)'!O22-'CFS (Base-Case)'!O22</f>
        <v>0</v>
      </c>
      <c r="P22" s="331">
        <f>'CFS (Bull-Case)'!P22-'CFS (Base-Case)'!P22</f>
        <v>0</v>
      </c>
      <c r="Q22" s="331">
        <f>'CFS (Bull-Case)'!Q22-'CFS (Base-Case)'!Q22</f>
        <v>0</v>
      </c>
      <c r="R22" s="332">
        <f>'CFS (Bull-Case)'!R22-'CFS (Base-Case)'!R22</f>
        <v>0</v>
      </c>
      <c r="S22" s="331">
        <f>'CFS (Bull-Case)'!S22-'CFS (Base-Case)'!S22</f>
        <v>0</v>
      </c>
      <c r="T22" s="331">
        <f>'CFS (Bull-Case)'!T22-'CFS (Base-Case)'!T22</f>
        <v>0</v>
      </c>
      <c r="U22" s="331">
        <f>'CFS (Bull-Case)'!U22-'CFS (Base-Case)'!U22</f>
        <v>0</v>
      </c>
      <c r="V22" s="331">
        <f>'CFS (Bull-Case)'!V22-'CFS (Base-Case)'!V22</f>
        <v>0</v>
      </c>
      <c r="W22" s="332">
        <f>'CFS (Bull-Case)'!W22-'CFS (Base-Case)'!W22</f>
        <v>0</v>
      </c>
      <c r="X22" s="331">
        <f>'CFS (Bull-Case)'!X22-'CFS (Base-Case)'!X22</f>
        <v>-0.94926886934649701</v>
      </c>
      <c r="Y22" s="331">
        <f>'CFS (Bull-Case)'!Y22-'CFS (Base-Case)'!Y22</f>
        <v>11.353018520528508</v>
      </c>
      <c r="Z22" s="331">
        <f>'CFS (Bull-Case)'!Z22-'CFS (Base-Case)'!Z22</f>
        <v>13.883288222991496</v>
      </c>
      <c r="AA22" s="331">
        <f>'CFS (Bull-Case)'!AA22-'CFS (Base-Case)'!AA22</f>
        <v>22.081164316280592</v>
      </c>
      <c r="AB22" s="332">
        <f>'CFS (Bull-Case)'!AB22-'CFS (Base-Case)'!AB22</f>
        <v>46.368202190453303</v>
      </c>
      <c r="AC22" s="331">
        <f>'CFS (Bull-Case)'!AC22-'CFS (Base-Case)'!AC22</f>
        <v>29.627398561478458</v>
      </c>
      <c r="AD22" s="331">
        <f>'CFS (Bull-Case)'!AD22-'CFS (Base-Case)'!AD22</f>
        <v>36.816844831357571</v>
      </c>
      <c r="AE22" s="331">
        <f>'CFS (Bull-Case)'!AE22-'CFS (Base-Case)'!AE22</f>
        <v>46.550254627732329</v>
      </c>
      <c r="AF22" s="331">
        <f>'CFS (Bull-Case)'!AF22-'CFS (Base-Case)'!AF22</f>
        <v>52.110965094298081</v>
      </c>
      <c r="AG22" s="332">
        <f>'CFS (Bull-Case)'!AG22-'CFS (Base-Case)'!AG22</f>
        <v>165.10546311486723</v>
      </c>
      <c r="AH22" s="331">
        <f>'CFS (Bull-Case)'!AH22-'CFS (Base-Case)'!AH22</f>
        <v>64.299353384770711</v>
      </c>
      <c r="AI22" s="331">
        <f>'CFS (Bull-Case)'!AI22-'CFS (Base-Case)'!AI22</f>
        <v>67.397287004806913</v>
      </c>
      <c r="AJ22" s="331">
        <f>'CFS (Bull-Case)'!AJ22-'CFS (Base-Case)'!AJ22</f>
        <v>82.336840441496179</v>
      </c>
      <c r="AK22" s="331">
        <f>'CFS (Bull-Case)'!AK22-'CFS (Base-Case)'!AK22</f>
        <v>105.70305829888184</v>
      </c>
      <c r="AL22" s="332">
        <f>'CFS (Bull-Case)'!AL22-'CFS (Base-Case)'!AL22</f>
        <v>319.73653912995542</v>
      </c>
      <c r="AM22" s="331">
        <f>'CFS (Bull-Case)'!AM22-'CFS (Base-Case)'!AM22</f>
        <v>110.73786874325151</v>
      </c>
      <c r="AN22" s="331">
        <f>'CFS (Bull-Case)'!AN22-'CFS (Base-Case)'!AN22</f>
        <v>94.356962202376735</v>
      </c>
      <c r="AO22" s="331">
        <f>'CFS (Bull-Case)'!AO22-'CFS (Base-Case)'!AO22</f>
        <v>110.24021951264331</v>
      </c>
      <c r="AP22" s="331">
        <f>'CFS (Bull-Case)'!AP22-'CFS (Base-Case)'!AP22</f>
        <v>125.00048514169202</v>
      </c>
      <c r="AQ22" s="332">
        <f>'CFS (Bull-Case)'!AQ22-'CFS (Base-Case)'!AQ22</f>
        <v>440.3355355999629</v>
      </c>
      <c r="AR22" s="331">
        <f>'CFS (Bull-Case)'!AR22-'CFS (Base-Case)'!AR22</f>
        <v>118.93044947821272</v>
      </c>
      <c r="AS22" s="331">
        <f>'CFS (Bull-Case)'!AS22-'CFS (Base-Case)'!AS22</f>
        <v>100.83913531256871</v>
      </c>
      <c r="AT22" s="331">
        <f>'CFS (Bull-Case)'!AT22-'CFS (Base-Case)'!AT22</f>
        <v>118.42093628340081</v>
      </c>
      <c r="AU22" s="331">
        <f>'CFS (Bull-Case)'!AU22-'CFS (Base-Case)'!AU22</f>
        <v>131.80640967344289</v>
      </c>
      <c r="AV22" s="332">
        <f>'CFS (Bull-Case)'!AV22-'CFS (Base-Case)'!AV22</f>
        <v>469.99693074762399</v>
      </c>
    </row>
    <row r="23" spans="2:48" outlineLevel="1" x14ac:dyDescent="0.3">
      <c r="B23" s="451" t="s">
        <v>282</v>
      </c>
      <c r="C23" s="452"/>
      <c r="D23" s="333">
        <f>'CFS (Bull-Case)'!D23-'CFS (Base-Case)'!D23</f>
        <v>0</v>
      </c>
      <c r="E23" s="334">
        <f>'CFS (Bull-Case)'!E23-'CFS (Base-Case)'!E23</f>
        <v>0</v>
      </c>
      <c r="F23" s="334">
        <f>'CFS (Bull-Case)'!F23-'CFS (Base-Case)'!F23</f>
        <v>0</v>
      </c>
      <c r="G23" s="334">
        <f>'CFS (Bull-Case)'!G23-'CFS (Base-Case)'!G23</f>
        <v>0</v>
      </c>
      <c r="H23" s="335">
        <f>'CFS (Bull-Case)'!H23-'CFS (Base-Case)'!H23</f>
        <v>0</v>
      </c>
      <c r="I23" s="336">
        <f>'CFS (Bull-Case)'!I23-'CFS (Base-Case)'!I23</f>
        <v>0</v>
      </c>
      <c r="J23" s="336">
        <f>'CFS (Bull-Case)'!J23-'CFS (Base-Case)'!J23</f>
        <v>0</v>
      </c>
      <c r="K23" s="334">
        <f>'CFS (Bull-Case)'!K23-'CFS (Base-Case)'!K23</f>
        <v>0</v>
      </c>
      <c r="L23" s="334">
        <f>'CFS (Bull-Case)'!L23-'CFS (Base-Case)'!L23</f>
        <v>0</v>
      </c>
      <c r="M23" s="337">
        <f>'CFS (Bull-Case)'!M23-'CFS (Base-Case)'!M23</f>
        <v>0</v>
      </c>
      <c r="N23" s="334">
        <f>'CFS (Bull-Case)'!N23-'CFS (Base-Case)'!N23</f>
        <v>0</v>
      </c>
      <c r="O23" s="334">
        <f>'CFS (Bull-Case)'!O23-'CFS (Base-Case)'!O23</f>
        <v>0</v>
      </c>
      <c r="P23" s="334">
        <f>'CFS (Bull-Case)'!P23-'CFS (Base-Case)'!P23</f>
        <v>0</v>
      </c>
      <c r="Q23" s="334">
        <f>'CFS (Bull-Case)'!Q23-'CFS (Base-Case)'!Q23</f>
        <v>0</v>
      </c>
      <c r="R23" s="337">
        <f>'CFS (Bull-Case)'!R23-'CFS (Base-Case)'!R23</f>
        <v>0</v>
      </c>
      <c r="S23" s="334">
        <f>'CFS (Bull-Case)'!S23-'CFS (Base-Case)'!S23</f>
        <v>0</v>
      </c>
      <c r="T23" s="334">
        <f>'CFS (Bull-Case)'!T23-'CFS (Base-Case)'!T23</f>
        <v>0</v>
      </c>
      <c r="U23" s="334">
        <f>'CFS (Bull-Case)'!U23-'CFS (Base-Case)'!U23</f>
        <v>0</v>
      </c>
      <c r="V23" s="334">
        <f>'CFS (Bull-Case)'!V23-'CFS (Base-Case)'!V23</f>
        <v>0</v>
      </c>
      <c r="W23" s="337">
        <f>'CFS (Bull-Case)'!W23-'CFS (Base-Case)'!W23</f>
        <v>0</v>
      </c>
      <c r="X23" s="334">
        <f>'CFS (Bull-Case)'!X23-'CFS (Base-Case)'!X23</f>
        <v>0</v>
      </c>
      <c r="Y23" s="334">
        <f>'CFS (Bull-Case)'!Y23-'CFS (Base-Case)'!Y23</f>
        <v>0</v>
      </c>
      <c r="Z23" s="334">
        <f>'CFS (Bull-Case)'!Z23-'CFS (Base-Case)'!Z23</f>
        <v>0</v>
      </c>
      <c r="AA23" s="334">
        <f>'CFS (Bull-Case)'!AA23-'CFS (Base-Case)'!AA23</f>
        <v>0</v>
      </c>
      <c r="AB23" s="337">
        <f>'CFS (Bull-Case)'!AB23-'CFS (Base-Case)'!AB23</f>
        <v>0</v>
      </c>
      <c r="AC23" s="334">
        <f>'CFS (Bull-Case)'!AC23-'CFS (Base-Case)'!AC23</f>
        <v>0</v>
      </c>
      <c r="AD23" s="334">
        <f>'CFS (Bull-Case)'!AD23-'CFS (Base-Case)'!AD23</f>
        <v>0</v>
      </c>
      <c r="AE23" s="334">
        <f>'CFS (Bull-Case)'!AE23-'CFS (Base-Case)'!AE23</f>
        <v>0</v>
      </c>
      <c r="AF23" s="334">
        <f>'CFS (Bull-Case)'!AF23-'CFS (Base-Case)'!AF23</f>
        <v>0</v>
      </c>
      <c r="AG23" s="337">
        <f>'CFS (Bull-Case)'!AG23-'CFS (Base-Case)'!AG23</f>
        <v>0</v>
      </c>
      <c r="AH23" s="334">
        <f>'CFS (Bull-Case)'!AH23-'CFS (Base-Case)'!AH23</f>
        <v>0</v>
      </c>
      <c r="AI23" s="334">
        <f>'CFS (Bull-Case)'!AI23-'CFS (Base-Case)'!AI23</f>
        <v>0</v>
      </c>
      <c r="AJ23" s="334">
        <f>'CFS (Bull-Case)'!AJ23-'CFS (Base-Case)'!AJ23</f>
        <v>0</v>
      </c>
      <c r="AK23" s="334">
        <f>'CFS (Bull-Case)'!AK23-'CFS (Base-Case)'!AK23</f>
        <v>0</v>
      </c>
      <c r="AL23" s="337">
        <f>'CFS (Bull-Case)'!AL23-'CFS (Base-Case)'!AL23</f>
        <v>0</v>
      </c>
      <c r="AM23" s="334">
        <f>'CFS (Bull-Case)'!AM23-'CFS (Base-Case)'!AM23</f>
        <v>0</v>
      </c>
      <c r="AN23" s="334">
        <f>'CFS (Bull-Case)'!AN23-'CFS (Base-Case)'!AN23</f>
        <v>0</v>
      </c>
      <c r="AO23" s="334">
        <f>'CFS (Bull-Case)'!AO23-'CFS (Base-Case)'!AO23</f>
        <v>0</v>
      </c>
      <c r="AP23" s="334">
        <f>'CFS (Bull-Case)'!AP23-'CFS (Base-Case)'!AP23</f>
        <v>0</v>
      </c>
      <c r="AQ23" s="337">
        <f>'CFS (Bull-Case)'!AQ23-'CFS (Base-Case)'!AQ23</f>
        <v>0</v>
      </c>
      <c r="AR23" s="334">
        <f>'CFS (Bull-Case)'!AR23-'CFS (Base-Case)'!AR23</f>
        <v>0</v>
      </c>
      <c r="AS23" s="334">
        <f>'CFS (Bull-Case)'!AS23-'CFS (Base-Case)'!AS23</f>
        <v>0</v>
      </c>
      <c r="AT23" s="334">
        <f>'CFS (Bull-Case)'!AT23-'CFS (Base-Case)'!AT23</f>
        <v>0</v>
      </c>
      <c r="AU23" s="334">
        <f>'CFS (Bull-Case)'!AU23-'CFS (Base-Case)'!AU23</f>
        <v>0</v>
      </c>
      <c r="AV23" s="337">
        <f>'CFS (Bull-Case)'!AV23-'CFS (Base-Case)'!AV23</f>
        <v>0</v>
      </c>
    </row>
    <row r="24" spans="2:48" outlineLevel="1" x14ac:dyDescent="0.3">
      <c r="B24" s="200" t="s">
        <v>283</v>
      </c>
      <c r="C24" s="201"/>
      <c r="D24" s="16">
        <f>'CFS (Bull-Case)'!D24-'CFS (Base-Case)'!D24</f>
        <v>0</v>
      </c>
      <c r="E24" s="16">
        <f>'CFS (Bull-Case)'!E24-'CFS (Base-Case)'!E24</f>
        <v>0</v>
      </c>
      <c r="F24" s="16">
        <f>'CFS (Bull-Case)'!F24-'CFS (Base-Case)'!F24</f>
        <v>0</v>
      </c>
      <c r="G24" s="16">
        <f>'CFS (Bull-Case)'!G24-'CFS (Base-Case)'!G24</f>
        <v>0</v>
      </c>
      <c r="H24" s="17">
        <f>'CFS (Bull-Case)'!H24-'CFS (Base-Case)'!H24</f>
        <v>0</v>
      </c>
      <c r="I24" s="16">
        <f>'CFS (Bull-Case)'!I24-'CFS (Base-Case)'!I24</f>
        <v>0</v>
      </c>
      <c r="J24" s="16">
        <f>'CFS (Bull-Case)'!J24-'CFS (Base-Case)'!J24</f>
        <v>0</v>
      </c>
      <c r="K24" s="16">
        <f>'CFS (Bull-Case)'!K24-'CFS (Base-Case)'!K24</f>
        <v>0</v>
      </c>
      <c r="L24" s="16">
        <f>'CFS (Bull-Case)'!L24-'CFS (Base-Case)'!L24</f>
        <v>0</v>
      </c>
      <c r="M24" s="17">
        <f>'CFS (Bull-Case)'!M24-'CFS (Base-Case)'!M24</f>
        <v>0</v>
      </c>
      <c r="N24" s="16">
        <f>'CFS (Bull-Case)'!N24-'CFS (Base-Case)'!N24</f>
        <v>0</v>
      </c>
      <c r="O24" s="16">
        <f>'CFS (Bull-Case)'!O24-'CFS (Base-Case)'!O24</f>
        <v>0</v>
      </c>
      <c r="P24" s="16">
        <f>'CFS (Bull-Case)'!P24-'CFS (Base-Case)'!P24</f>
        <v>0</v>
      </c>
      <c r="Q24" s="16">
        <f>'CFS (Bull-Case)'!Q24-'CFS (Base-Case)'!Q24</f>
        <v>0</v>
      </c>
      <c r="R24" s="17">
        <f>'CFS (Bull-Case)'!R24-'CFS (Base-Case)'!R24</f>
        <v>0</v>
      </c>
      <c r="S24" s="16">
        <f>'CFS (Bull-Case)'!S24-'CFS (Base-Case)'!S24</f>
        <v>0</v>
      </c>
      <c r="T24" s="16">
        <f>'CFS (Bull-Case)'!T24-'CFS (Base-Case)'!T24</f>
        <v>0</v>
      </c>
      <c r="U24" s="16">
        <f>'CFS (Bull-Case)'!U24-'CFS (Base-Case)'!U24</f>
        <v>0</v>
      </c>
      <c r="V24" s="16">
        <f>'CFS (Bull-Case)'!V24-'CFS (Base-Case)'!V24</f>
        <v>0</v>
      </c>
      <c r="W24" s="17">
        <f>'CFS (Bull-Case)'!W24-'CFS (Base-Case)'!W24</f>
        <v>0</v>
      </c>
      <c r="X24" s="16">
        <f>'CFS (Bull-Case)'!X24-'CFS (Base-Case)'!X24</f>
        <v>-0.3600215138263394</v>
      </c>
      <c r="Y24" s="16">
        <f>'CFS (Bull-Case)'!Y24-'CFS (Base-Case)'!Y24</f>
        <v>-0.17022584960623988</v>
      </c>
      <c r="Z24" s="16">
        <f>'CFS (Bull-Case)'!Z24-'CFS (Base-Case)'!Z24</f>
        <v>-0.2660238105180639</v>
      </c>
      <c r="AA24" s="16">
        <f>'CFS (Bull-Case)'!AA24-'CFS (Base-Case)'!AA24</f>
        <v>-0.20407020812665166</v>
      </c>
      <c r="AB24" s="17">
        <f>'CFS (Bull-Case)'!AB24-'CFS (Base-Case)'!AB24</f>
        <v>-1.0003413820772948</v>
      </c>
      <c r="AC24" s="16">
        <f>'CFS (Bull-Case)'!AC24-'CFS (Base-Case)'!AC24</f>
        <v>-0.7439623077657842</v>
      </c>
      <c r="AD24" s="16">
        <f>'CFS (Bull-Case)'!AD24-'CFS (Base-Case)'!AD24</f>
        <v>-0.52866258789316589</v>
      </c>
      <c r="AE24" s="16">
        <f>'CFS (Bull-Case)'!AE24-'CFS (Base-Case)'!AE24</f>
        <v>-0.70284871430516205</v>
      </c>
      <c r="AF24" s="16">
        <f>'CFS (Bull-Case)'!AF24-'CFS (Base-Case)'!AF24</f>
        <v>-0.57626361938375226</v>
      </c>
      <c r="AG24" s="17">
        <f>'CFS (Bull-Case)'!AG24-'CFS (Base-Case)'!AG24</f>
        <v>-2.5517372293478644</v>
      </c>
      <c r="AH24" s="16">
        <f>'CFS (Bull-Case)'!AH24-'CFS (Base-Case)'!AH24</f>
        <v>-1.2563489611087135</v>
      </c>
      <c r="AI24" s="16">
        <f>'CFS (Bull-Case)'!AI24-'CFS (Base-Case)'!AI24</f>
        <v>-0.98160338968347105</v>
      </c>
      <c r="AJ24" s="16">
        <f>'CFS (Bull-Case)'!AJ24-'CFS (Base-Case)'!AJ24</f>
        <v>-1.2707156671925333</v>
      </c>
      <c r="AK24" s="16">
        <f>'CFS (Bull-Case)'!AK24-'CFS (Base-Case)'!AK24</f>
        <v>-20.054171343782713</v>
      </c>
      <c r="AL24" s="17">
        <f>'CFS (Bull-Case)'!AL24-'CFS (Base-Case)'!AL24</f>
        <v>-23.562839361767431</v>
      </c>
      <c r="AM24" s="16">
        <f>'CFS (Bull-Case)'!AM24-'CFS (Base-Case)'!AM24</f>
        <v>-1.0606790244855375</v>
      </c>
      <c r="AN24" s="16">
        <f>'CFS (Bull-Case)'!AN24-'CFS (Base-Case)'!AN24</f>
        <v>-0.92387640128266924</v>
      </c>
      <c r="AO24" s="16">
        <f>'CFS (Bull-Case)'!AO24-'CFS (Base-Case)'!AO24</f>
        <v>-1.1390658749763958</v>
      </c>
      <c r="AP24" s="16">
        <f>'CFS (Bull-Case)'!AP24-'CFS (Base-Case)'!AP24</f>
        <v>-0.78223471392011845</v>
      </c>
      <c r="AQ24" s="17">
        <f>'CFS (Bull-Case)'!AQ24-'CFS (Base-Case)'!AQ24</f>
        <v>-3.905856014664721</v>
      </c>
      <c r="AR24" s="16">
        <f>'CFS (Bull-Case)'!AR24-'CFS (Base-Case)'!AR24</f>
        <v>-0.92774024486794815</v>
      </c>
      <c r="AS24" s="16">
        <f>'CFS (Bull-Case)'!AS24-'CFS (Base-Case)'!AS24</f>
        <v>-0.78438678085407787</v>
      </c>
      <c r="AT24" s="16">
        <f>'CFS (Bull-Case)'!AT24-'CFS (Base-Case)'!AT24</f>
        <v>-1.1098743154517621</v>
      </c>
      <c r="AU24" s="16">
        <f>'CFS (Bull-Case)'!AU24-'CFS (Base-Case)'!AU24</f>
        <v>-0.85541255138049621</v>
      </c>
      <c r="AV24" s="17">
        <f>'CFS (Bull-Case)'!AV24-'CFS (Base-Case)'!AV24</f>
        <v>-3.6774138925542843</v>
      </c>
    </row>
    <row r="25" spans="2:48" outlineLevel="1" x14ac:dyDescent="0.3">
      <c r="B25" s="435" t="s">
        <v>284</v>
      </c>
      <c r="C25" s="436"/>
      <c r="D25" s="16">
        <f>'CFS (Bull-Case)'!D25-'CFS (Base-Case)'!D25</f>
        <v>0</v>
      </c>
      <c r="E25" s="16">
        <f>'CFS (Bull-Case)'!E25-'CFS (Base-Case)'!E25</f>
        <v>0</v>
      </c>
      <c r="F25" s="16">
        <f>'CFS (Bull-Case)'!F25-'CFS (Base-Case)'!F25</f>
        <v>0</v>
      </c>
      <c r="G25" s="16">
        <f>'CFS (Bull-Case)'!G25-'CFS (Base-Case)'!G25</f>
        <v>0</v>
      </c>
      <c r="H25" s="169">
        <f>'CFS (Bull-Case)'!H25-'CFS (Base-Case)'!H25</f>
        <v>0</v>
      </c>
      <c r="I25" s="16">
        <f>'CFS (Bull-Case)'!I25-'CFS (Base-Case)'!I25</f>
        <v>0</v>
      </c>
      <c r="J25" s="16">
        <f>'CFS (Bull-Case)'!J25-'CFS (Base-Case)'!J25</f>
        <v>0</v>
      </c>
      <c r="K25" s="16">
        <f>'CFS (Bull-Case)'!K25-'CFS (Base-Case)'!K25</f>
        <v>0</v>
      </c>
      <c r="L25" s="16">
        <f>'CFS (Bull-Case)'!L25-'CFS (Base-Case)'!L25</f>
        <v>0</v>
      </c>
      <c r="M25" s="169">
        <f>'CFS (Bull-Case)'!M25-'CFS (Base-Case)'!M25</f>
        <v>0</v>
      </c>
      <c r="N25" s="16">
        <f>'CFS (Bull-Case)'!N25-'CFS (Base-Case)'!N25</f>
        <v>0</v>
      </c>
      <c r="O25" s="16">
        <f>'CFS (Bull-Case)'!O25-'CFS (Base-Case)'!O25</f>
        <v>0</v>
      </c>
      <c r="P25" s="16">
        <f>'CFS (Bull-Case)'!P25-'CFS (Base-Case)'!P25</f>
        <v>0</v>
      </c>
      <c r="Q25" s="16">
        <f>'CFS (Bull-Case)'!Q25-'CFS (Base-Case)'!Q25</f>
        <v>0</v>
      </c>
      <c r="R25" s="169">
        <f>'CFS (Bull-Case)'!R25-'CFS (Base-Case)'!R25</f>
        <v>0</v>
      </c>
      <c r="S25" s="16">
        <f>'CFS (Bull-Case)'!S25-'CFS (Base-Case)'!S25</f>
        <v>0</v>
      </c>
      <c r="T25" s="16">
        <f>'CFS (Bull-Case)'!T25-'CFS (Base-Case)'!T25</f>
        <v>0</v>
      </c>
      <c r="U25" s="16">
        <f>'CFS (Bull-Case)'!U25-'CFS (Base-Case)'!U25</f>
        <v>0</v>
      </c>
      <c r="V25" s="16">
        <f>'CFS (Bull-Case)'!V25-'CFS (Base-Case)'!V25</f>
        <v>0</v>
      </c>
      <c r="W25" s="169">
        <f>'CFS (Bull-Case)'!W25-'CFS (Base-Case)'!W25</f>
        <v>0</v>
      </c>
      <c r="X25" s="16">
        <f>'CFS (Bull-Case)'!X25-'CFS (Base-Case)'!X25</f>
        <v>-0.10937834729566021</v>
      </c>
      <c r="Y25" s="16">
        <f>'CFS (Bull-Case)'!Y25-'CFS (Base-Case)'!Y25</f>
        <v>5.2315644710461129E-3</v>
      </c>
      <c r="Z25" s="16">
        <f>'CFS (Bull-Case)'!Z25-'CFS (Base-Case)'!Z25</f>
        <v>-0.10346655506396019</v>
      </c>
      <c r="AA25" s="16">
        <f>'CFS (Bull-Case)'!AA25-'CFS (Base-Case)'!AA25</f>
        <v>0.20761333788857428</v>
      </c>
      <c r="AB25" s="419">
        <f>'CFS (Bull-Case)'!AB25-'CFS (Base-Case)'!AB25</f>
        <v>0</v>
      </c>
      <c r="AC25" s="16">
        <f>'CFS (Bull-Case)'!AC25-'CFS (Base-Case)'!AC25</f>
        <v>-4.692531642240283E-2</v>
      </c>
      <c r="AD25" s="16">
        <f>'CFS (Bull-Case)'!AD25-'CFS (Base-Case)'!AD25</f>
        <v>-0.14227932738231175</v>
      </c>
      <c r="AE25" s="16">
        <f>'CFS (Bull-Case)'!AE25-'CFS (Base-Case)'!AE25</f>
        <v>-0.22278264290775951</v>
      </c>
      <c r="AF25" s="16">
        <f>'CFS (Bull-Case)'!AF25-'CFS (Base-Case)'!AF25</f>
        <v>0.4119872867132699</v>
      </c>
      <c r="AG25" s="419">
        <f>'CFS (Bull-Case)'!AG25-'CFS (Base-Case)'!AG25</f>
        <v>0</v>
      </c>
      <c r="AH25" s="16">
        <f>'CFS (Bull-Case)'!AH25-'CFS (Base-Case)'!AH25</f>
        <v>-7.7695602054177471E-2</v>
      </c>
      <c r="AI25" s="16">
        <f>'CFS (Bull-Case)'!AI25-'CFS (Base-Case)'!AI25</f>
        <v>-0.25465129889676064</v>
      </c>
      <c r="AJ25" s="16">
        <f>'CFS (Bull-Case)'!AJ25-'CFS (Base-Case)'!AJ25</f>
        <v>-0.31364075058434082</v>
      </c>
      <c r="AK25" s="16">
        <f>'CFS (Bull-Case)'!AK25-'CFS (Base-Case)'!AK25</f>
        <v>0.6459876515285714</v>
      </c>
      <c r="AL25" s="419">
        <f>'CFS (Bull-Case)'!AL25-'CFS (Base-Case)'!AL25</f>
        <v>-6.8212102632969618E-12</v>
      </c>
      <c r="AM25" s="16">
        <f>'CFS (Bull-Case)'!AM25-'CFS (Base-Case)'!AM25</f>
        <v>0.20046068305691733</v>
      </c>
      <c r="AN25" s="16">
        <f>'CFS (Bull-Case)'!AN25-'CFS (Base-Case)'!AN25</f>
        <v>-0.10488974200234225</v>
      </c>
      <c r="AO25" s="16">
        <f>'CFS (Bull-Case)'!AO25-'CFS (Base-Case)'!AO25</f>
        <v>-0.22714662655903339</v>
      </c>
      <c r="AP25" s="16">
        <f>'CFS (Bull-Case)'!AP25-'CFS (Base-Case)'!AP25</f>
        <v>0.75346288323760291</v>
      </c>
      <c r="AQ25" s="17">
        <f>'CFS (Bull-Case)'!AQ25-'CFS (Base-Case)'!AQ25</f>
        <v>0.62188719773348566</v>
      </c>
      <c r="AR25" s="16">
        <f>'CFS (Bull-Case)'!AR25-'CFS (Base-Case)'!AR25</f>
        <v>0.24149859206238489</v>
      </c>
      <c r="AS25" s="16">
        <f>'CFS (Bull-Case)'!AS25-'CFS (Base-Case)'!AS25</f>
        <v>-9.3426825484698384E-2</v>
      </c>
      <c r="AT25" s="16">
        <f>'CFS (Bull-Case)'!AT25-'CFS (Base-Case)'!AT25</f>
        <v>-0.22270338616033314</v>
      </c>
      <c r="AU25" s="16">
        <f>'CFS (Bull-Case)'!AU25-'CFS (Base-Case)'!AU25</f>
        <v>0.83133476922887439</v>
      </c>
      <c r="AV25" s="17">
        <f>'CFS (Bull-Case)'!AV25-'CFS (Base-Case)'!AV25</f>
        <v>0.75670314964600038</v>
      </c>
    </row>
    <row r="26" spans="2:48" ht="16.2" outlineLevel="1" x14ac:dyDescent="0.45">
      <c r="B26" s="435" t="s">
        <v>285</v>
      </c>
      <c r="C26" s="436"/>
      <c r="D26" s="260">
        <f>'CFS (Bull-Case)'!D26-'CFS (Base-Case)'!D26</f>
        <v>0</v>
      </c>
      <c r="E26" s="260">
        <f>'CFS (Bull-Case)'!E26-'CFS (Base-Case)'!E26</f>
        <v>0</v>
      </c>
      <c r="F26" s="260">
        <f>'CFS (Bull-Case)'!F26-'CFS (Base-Case)'!F26</f>
        <v>0</v>
      </c>
      <c r="G26" s="260">
        <f>'CFS (Bull-Case)'!G26-'CFS (Base-Case)'!G26</f>
        <v>0</v>
      </c>
      <c r="H26" s="261">
        <f>'CFS (Bull-Case)'!H26-'CFS (Base-Case)'!H26</f>
        <v>0</v>
      </c>
      <c r="I26" s="260">
        <f>'CFS (Bull-Case)'!I26-'CFS (Base-Case)'!I26</f>
        <v>0</v>
      </c>
      <c r="J26" s="260">
        <f>'CFS (Bull-Case)'!J26-'CFS (Base-Case)'!J26</f>
        <v>0</v>
      </c>
      <c r="K26" s="260">
        <f>'CFS (Bull-Case)'!K26-'CFS (Base-Case)'!K26</f>
        <v>0</v>
      </c>
      <c r="L26" s="260">
        <f>'CFS (Bull-Case)'!L26-'CFS (Base-Case)'!L26</f>
        <v>0</v>
      </c>
      <c r="M26" s="261">
        <f>'CFS (Bull-Case)'!M26-'CFS (Base-Case)'!M26</f>
        <v>0</v>
      </c>
      <c r="N26" s="260">
        <f>'CFS (Bull-Case)'!N26-'CFS (Base-Case)'!N26</f>
        <v>0</v>
      </c>
      <c r="O26" s="260">
        <f>'CFS (Bull-Case)'!O26-'CFS (Base-Case)'!O26</f>
        <v>0</v>
      </c>
      <c r="P26" s="260">
        <f>'CFS (Bull-Case)'!P26-'CFS (Base-Case)'!P26</f>
        <v>0</v>
      </c>
      <c r="Q26" s="260">
        <f>'CFS (Bull-Case)'!Q26-'CFS (Base-Case)'!Q26</f>
        <v>0</v>
      </c>
      <c r="R26" s="261">
        <f>'CFS (Bull-Case)'!R26-'CFS (Base-Case)'!R26</f>
        <v>0</v>
      </c>
      <c r="S26" s="260">
        <f>'CFS (Bull-Case)'!S26-'CFS (Base-Case)'!S26</f>
        <v>0</v>
      </c>
      <c r="T26" s="260">
        <f>'CFS (Bull-Case)'!T26-'CFS (Base-Case)'!T26</f>
        <v>0</v>
      </c>
      <c r="U26" s="260">
        <f>'CFS (Bull-Case)'!U26-'CFS (Base-Case)'!U26</f>
        <v>0</v>
      </c>
      <c r="V26" s="260">
        <f>'CFS (Bull-Case)'!V26-'CFS (Base-Case)'!V26</f>
        <v>0</v>
      </c>
      <c r="W26" s="261">
        <f>'CFS (Bull-Case)'!W26-'CFS (Base-Case)'!W26</f>
        <v>0</v>
      </c>
      <c r="X26" s="260">
        <f>'CFS (Bull-Case)'!X26-'CFS (Base-Case)'!X26</f>
        <v>-0.62359583597537949</v>
      </c>
      <c r="Y26" s="260">
        <f>'CFS (Bull-Case)'!Y26-'CFS (Base-Case)'!Y26</f>
        <v>-0.29984727882606421</v>
      </c>
      <c r="Z26" s="260">
        <f>'CFS (Bull-Case)'!Z26-'CFS (Base-Case)'!Z26</f>
        <v>-0.45285397393297444</v>
      </c>
      <c r="AA26" s="260">
        <f>'CFS (Bull-Case)'!AA26-'CFS (Base-Case)'!AA26</f>
        <v>-0.35122491847209858</v>
      </c>
      <c r="AB26" s="261">
        <f>'CFS (Bull-Case)'!AB26-'CFS (Base-Case)'!AB26</f>
        <v>-1.7275220072065167</v>
      </c>
      <c r="AC26" s="260">
        <f>'CFS (Bull-Case)'!AC26-'CFS (Base-Case)'!AC26</f>
        <v>-1.2940156131777485</v>
      </c>
      <c r="AD26" s="260">
        <f>'CFS (Bull-Case)'!AD26-'CFS (Base-Case)'!AD26</f>
        <v>-0.91583654724956887</v>
      </c>
      <c r="AE26" s="260">
        <f>'CFS (Bull-Case)'!AE26-'CFS (Base-Case)'!AE26</f>
        <v>-1.2106676589949075</v>
      </c>
      <c r="AF26" s="260">
        <f>'CFS (Bull-Case)'!AF26-'CFS (Base-Case)'!AF26</f>
        <v>-0.99827575919471201</v>
      </c>
      <c r="AG26" s="261">
        <f>'CFS (Bull-Case)'!AG26-'CFS (Base-Case)'!AG26</f>
        <v>-4.4187955786169368</v>
      </c>
      <c r="AH26" s="260">
        <f>'CFS (Bull-Case)'!AH26-'CFS (Base-Case)'!AH26</f>
        <v>-2.178026823481332</v>
      </c>
      <c r="AI26" s="260">
        <f>'CFS (Bull-Case)'!AI26-'CFS (Base-Case)'!AI26</f>
        <v>-1.6978572139489643</v>
      </c>
      <c r="AJ26" s="260">
        <f>'CFS (Bull-Case)'!AJ26-'CFS (Base-Case)'!AJ26</f>
        <v>-2.1972032499910483</v>
      </c>
      <c r="AK26" s="260">
        <f>'CFS (Bull-Case)'!AK26-'CFS (Base-Case)'!AK26</f>
        <v>-34.71037898178929</v>
      </c>
      <c r="AL26" s="261">
        <f>'CFS (Bull-Case)'!AL26-'CFS (Base-Case)'!AL26</f>
        <v>-40.783466269210635</v>
      </c>
      <c r="AM26" s="260">
        <f>'CFS (Bull-Case)'!AM26-'CFS (Base-Case)'!AM26</f>
        <v>-1.8388227993493729</v>
      </c>
      <c r="AN26" s="260">
        <f>'CFS (Bull-Case)'!AN26-'CFS (Base-Case)'!AN26</f>
        <v>-1.5968084671604856</v>
      </c>
      <c r="AO26" s="260">
        <f>'CFS (Bull-Case)'!AO26-'CFS (Base-Case)'!AO26</f>
        <v>-1.9704438035473686</v>
      </c>
      <c r="AP26" s="260">
        <f>'CFS (Bull-Case)'!AP26-'CFS (Base-Case)'!AP26</f>
        <v>-1.3550750066762021</v>
      </c>
      <c r="AQ26" s="261">
        <f>'CFS (Bull-Case)'!AQ26-'CFS (Base-Case)'!AQ26</f>
        <v>-6.7611500767334292</v>
      </c>
      <c r="AR26" s="260">
        <f>'CFS (Bull-Case)'!AR26-'CFS (Base-Case)'!AR26</f>
        <v>-1.6059950263154406</v>
      </c>
      <c r="AS26" s="260">
        <f>'CFS (Bull-Case)'!AS26-'CFS (Base-Case)'!AS26</f>
        <v>-1.3570771430032664</v>
      </c>
      <c r="AT26" s="260">
        <f>'CFS (Bull-Case)'!AT26-'CFS (Base-Case)'!AT26</f>
        <v>-1.9209279890370681</v>
      </c>
      <c r="AU26" s="260">
        <f>'CFS (Bull-Case)'!AU26-'CFS (Base-Case)'!AU26</f>
        <v>-1.4807964797298609</v>
      </c>
      <c r="AV26" s="261">
        <f>'CFS (Bull-Case)'!AV26-'CFS (Base-Case)'!AV26</f>
        <v>-6.364796638085636</v>
      </c>
    </row>
    <row r="27" spans="2:48" outlineLevel="1" x14ac:dyDescent="0.3">
      <c r="B27" s="445" t="s">
        <v>286</v>
      </c>
      <c r="C27" s="446"/>
      <c r="D27" s="21">
        <f>'CFS (Bull-Case)'!D27-'CFS (Base-Case)'!D27</f>
        <v>0</v>
      </c>
      <c r="E27" s="21">
        <f>'CFS (Bull-Case)'!E27-'CFS (Base-Case)'!E27</f>
        <v>0</v>
      </c>
      <c r="F27" s="21">
        <f>'CFS (Bull-Case)'!F27-'CFS (Base-Case)'!F27</f>
        <v>0</v>
      </c>
      <c r="G27" s="21">
        <f>'CFS (Bull-Case)'!G27-'CFS (Base-Case)'!G27</f>
        <v>0</v>
      </c>
      <c r="H27" s="22">
        <f>'CFS (Bull-Case)'!H27-'CFS (Base-Case)'!H27</f>
        <v>0</v>
      </c>
      <c r="I27" s="21">
        <f>'CFS (Bull-Case)'!I27-'CFS (Base-Case)'!I27</f>
        <v>0</v>
      </c>
      <c r="J27" s="21">
        <f>'CFS (Bull-Case)'!J27-'CFS (Base-Case)'!J27</f>
        <v>0</v>
      </c>
      <c r="K27" s="21">
        <f>'CFS (Bull-Case)'!K27-'CFS (Base-Case)'!K27</f>
        <v>0</v>
      </c>
      <c r="L27" s="21">
        <f>'CFS (Bull-Case)'!L27-'CFS (Base-Case)'!L27</f>
        <v>0</v>
      </c>
      <c r="M27" s="22">
        <f>'CFS (Bull-Case)'!M27-'CFS (Base-Case)'!M27</f>
        <v>0</v>
      </c>
      <c r="N27" s="21">
        <f>'CFS (Bull-Case)'!N27-'CFS (Base-Case)'!N27</f>
        <v>0</v>
      </c>
      <c r="O27" s="21">
        <f>'CFS (Bull-Case)'!O27-'CFS (Base-Case)'!O27</f>
        <v>0</v>
      </c>
      <c r="P27" s="21">
        <f>'CFS (Bull-Case)'!P27-'CFS (Base-Case)'!P27</f>
        <v>0</v>
      </c>
      <c r="Q27" s="21">
        <f>'CFS (Bull-Case)'!Q27-'CFS (Base-Case)'!Q27</f>
        <v>0</v>
      </c>
      <c r="R27" s="22">
        <f>'CFS (Bull-Case)'!R27-'CFS (Base-Case)'!R27</f>
        <v>0</v>
      </c>
      <c r="S27" s="21">
        <f>'CFS (Bull-Case)'!S27-'CFS (Base-Case)'!S27</f>
        <v>0</v>
      </c>
      <c r="T27" s="21">
        <f>'CFS (Bull-Case)'!T27-'CFS (Base-Case)'!T27</f>
        <v>0</v>
      </c>
      <c r="U27" s="21">
        <f>'CFS (Bull-Case)'!U27-'CFS (Base-Case)'!U27</f>
        <v>0</v>
      </c>
      <c r="V27" s="21">
        <f>'CFS (Bull-Case)'!V27-'CFS (Base-Case)'!V27</f>
        <v>0</v>
      </c>
      <c r="W27" s="22">
        <f>'CFS (Bull-Case)'!W27-'CFS (Base-Case)'!W27</f>
        <v>0</v>
      </c>
      <c r="X27" s="21">
        <f>'CFS (Bull-Case)'!X27-'CFS (Base-Case)'!X27</f>
        <v>-1.092995697097308</v>
      </c>
      <c r="Y27" s="21">
        <f>'CFS (Bull-Case)'!Y27-'CFS (Base-Case)'!Y27</f>
        <v>-0.46484156396127219</v>
      </c>
      <c r="Z27" s="21">
        <f>'CFS (Bull-Case)'!Z27-'CFS (Base-Case)'!Z27</f>
        <v>-0.82234433951498431</v>
      </c>
      <c r="AA27" s="21">
        <f>'CFS (Bull-Case)'!AA27-'CFS (Base-Case)'!AA27</f>
        <v>-0.34768178871013333</v>
      </c>
      <c r="AB27" s="22">
        <f>'CFS (Bull-Case)'!AB27-'CFS (Base-Case)'!AB27</f>
        <v>-2.7278633892838116</v>
      </c>
      <c r="AC27" s="21">
        <f>'CFS (Bull-Case)'!AC27-'CFS (Base-Case)'!AC27</f>
        <v>-2.0849032373660066</v>
      </c>
      <c r="AD27" s="21">
        <f>'CFS (Bull-Case)'!AD27-'CFS (Base-Case)'!AD27</f>
        <v>-1.586778462525217</v>
      </c>
      <c r="AE27" s="21">
        <f>'CFS (Bull-Case)'!AE27-'CFS (Base-Case)'!AE27</f>
        <v>-2.1362990162078859</v>
      </c>
      <c r="AF27" s="21">
        <f>'CFS (Bull-Case)'!AF27-'CFS (Base-Case)'!AF27</f>
        <v>-1.1625520918652228</v>
      </c>
      <c r="AG27" s="22">
        <f>'CFS (Bull-Case)'!AG27-'CFS (Base-Case)'!AG27</f>
        <v>-6.9705328079639912</v>
      </c>
      <c r="AH27" s="21">
        <f>'CFS (Bull-Case)'!AH27-'CFS (Base-Case)'!AH27</f>
        <v>-3.512071386644152</v>
      </c>
      <c r="AI27" s="21">
        <f>'CFS (Bull-Case)'!AI27-'CFS (Base-Case)'!AI27</f>
        <v>-2.9341119025291391</v>
      </c>
      <c r="AJ27" s="21">
        <f>'CFS (Bull-Case)'!AJ27-'CFS (Base-Case)'!AJ27</f>
        <v>-3.781559667767965</v>
      </c>
      <c r="AK27" s="21">
        <f>'CFS (Bull-Case)'!AK27-'CFS (Base-Case)'!AK27</f>
        <v>-54.11856267404346</v>
      </c>
      <c r="AL27" s="22">
        <f>'CFS (Bull-Case)'!AL27-'CFS (Base-Case)'!AL27</f>
        <v>-64.346305630985171</v>
      </c>
      <c r="AM27" s="21">
        <f>'CFS (Bull-Case)'!AM27-'CFS (Base-Case)'!AM27</f>
        <v>-2.699041140777922</v>
      </c>
      <c r="AN27" s="21">
        <f>'CFS (Bull-Case)'!AN27-'CFS (Base-Case)'!AN27</f>
        <v>-2.6255746104454829</v>
      </c>
      <c r="AO27" s="21">
        <f>'CFS (Bull-Case)'!AO27-'CFS (Base-Case)'!AO27</f>
        <v>-3.3366563050827835</v>
      </c>
      <c r="AP27" s="21">
        <f>'CFS (Bull-Case)'!AP27-'CFS (Base-Case)'!AP27</f>
        <v>-1.3838468373587602</v>
      </c>
      <c r="AQ27" s="22">
        <f>'CFS (Bull-Case)'!AQ27-'CFS (Base-Case)'!AQ27</f>
        <v>-10.045118893664949</v>
      </c>
      <c r="AR27" s="21">
        <f>'CFS (Bull-Case)'!AR27-'CFS (Base-Case)'!AR27</f>
        <v>-2.2922366791210607</v>
      </c>
      <c r="AS27" s="21">
        <f>'CFS (Bull-Case)'!AS27-'CFS (Base-Case)'!AS27</f>
        <v>-2.2348907493420711</v>
      </c>
      <c r="AT27" s="21">
        <f>'CFS (Bull-Case)'!AT27-'CFS (Base-Case)'!AT27</f>
        <v>-3.2535056906491491</v>
      </c>
      <c r="AU27" s="21">
        <f>'CFS (Bull-Case)'!AU27-'CFS (Base-Case)'!AU27</f>
        <v>-1.5048742618814686</v>
      </c>
      <c r="AV27" s="22">
        <f>'CFS (Bull-Case)'!AV27-'CFS (Base-Case)'!AV27</f>
        <v>-9.2855073809937494</v>
      </c>
    </row>
    <row r="28" spans="2:48" outlineLevel="1" x14ac:dyDescent="0.3">
      <c r="B28" s="489" t="s">
        <v>287</v>
      </c>
      <c r="C28" s="490"/>
      <c r="D28" s="321">
        <f>'CFS (Bull-Case)'!D28-'CFS (Base-Case)'!D28</f>
        <v>0</v>
      </c>
      <c r="E28" s="323">
        <f>'CFS (Bull-Case)'!E28-'CFS (Base-Case)'!E28</f>
        <v>0</v>
      </c>
      <c r="F28" s="323">
        <f>'CFS (Bull-Case)'!F28-'CFS (Base-Case)'!F28</f>
        <v>0</v>
      </c>
      <c r="G28" s="323">
        <f>'CFS (Bull-Case)'!G28-'CFS (Base-Case)'!G28</f>
        <v>0</v>
      </c>
      <c r="H28" s="324">
        <f>'CFS (Bull-Case)'!H28-'CFS (Base-Case)'!H28</f>
        <v>0</v>
      </c>
      <c r="I28" s="323">
        <f>'CFS (Bull-Case)'!I28-'CFS (Base-Case)'!I28</f>
        <v>0</v>
      </c>
      <c r="J28" s="323">
        <f>'CFS (Bull-Case)'!J28-'CFS (Base-Case)'!J28</f>
        <v>0</v>
      </c>
      <c r="K28" s="323">
        <f>'CFS (Bull-Case)'!K28-'CFS (Base-Case)'!K28</f>
        <v>0</v>
      </c>
      <c r="L28" s="323">
        <f>'CFS (Bull-Case)'!L28-'CFS (Base-Case)'!L28</f>
        <v>0</v>
      </c>
      <c r="M28" s="324">
        <f>'CFS (Bull-Case)'!M28-'CFS (Base-Case)'!M28</f>
        <v>0</v>
      </c>
      <c r="N28" s="323">
        <f>'CFS (Bull-Case)'!N28-'CFS (Base-Case)'!N28</f>
        <v>0</v>
      </c>
      <c r="O28" s="323">
        <f>'CFS (Bull-Case)'!O28-'CFS (Base-Case)'!O28</f>
        <v>0</v>
      </c>
      <c r="P28" s="323">
        <f>'CFS (Bull-Case)'!P28-'CFS (Base-Case)'!P28</f>
        <v>0</v>
      </c>
      <c r="Q28" s="323">
        <f>'CFS (Bull-Case)'!Q28-'CFS (Base-Case)'!Q28</f>
        <v>0</v>
      </c>
      <c r="R28" s="324">
        <f>'CFS (Bull-Case)'!R28-'CFS (Base-Case)'!R28</f>
        <v>0</v>
      </c>
      <c r="S28" s="323">
        <f>'CFS (Bull-Case)'!S28-'CFS (Base-Case)'!S28</f>
        <v>0</v>
      </c>
      <c r="T28" s="323">
        <f>'CFS (Bull-Case)'!T28-'CFS (Base-Case)'!T28</f>
        <v>0</v>
      </c>
      <c r="U28" s="323">
        <f>'CFS (Bull-Case)'!U28-'CFS (Base-Case)'!U28</f>
        <v>0</v>
      </c>
      <c r="V28" s="323">
        <f>'CFS (Bull-Case)'!V28-'CFS (Base-Case)'!V28</f>
        <v>0</v>
      </c>
      <c r="W28" s="324">
        <f>'CFS (Bull-Case)'!W28-'CFS (Base-Case)'!W28</f>
        <v>0</v>
      </c>
      <c r="X28" s="323">
        <f>'CFS (Bull-Case)'!X28-'CFS (Base-Case)'!X28</f>
        <v>0</v>
      </c>
      <c r="Y28" s="323">
        <f>'CFS (Bull-Case)'!Y28-'CFS (Base-Case)'!Y28</f>
        <v>0</v>
      </c>
      <c r="Z28" s="323">
        <f>'CFS (Bull-Case)'!Z28-'CFS (Base-Case)'!Z28</f>
        <v>0</v>
      </c>
      <c r="AA28" s="323">
        <f>'CFS (Bull-Case)'!AA28-'CFS (Base-Case)'!AA28</f>
        <v>0</v>
      </c>
      <c r="AB28" s="324">
        <f>'CFS (Bull-Case)'!AB28-'CFS (Base-Case)'!AB28</f>
        <v>0</v>
      </c>
      <c r="AC28" s="323">
        <f>'CFS (Bull-Case)'!AC28-'CFS (Base-Case)'!AC28</f>
        <v>0</v>
      </c>
      <c r="AD28" s="323">
        <f>'CFS (Bull-Case)'!AD28-'CFS (Base-Case)'!AD28</f>
        <v>0</v>
      </c>
      <c r="AE28" s="323">
        <f>'CFS (Bull-Case)'!AE28-'CFS (Base-Case)'!AE28</f>
        <v>0</v>
      </c>
      <c r="AF28" s="323">
        <f>'CFS (Bull-Case)'!AF28-'CFS (Base-Case)'!AF28</f>
        <v>0</v>
      </c>
      <c r="AG28" s="324">
        <f>'CFS (Bull-Case)'!AG28-'CFS (Base-Case)'!AG28</f>
        <v>0</v>
      </c>
      <c r="AH28" s="323">
        <f>'CFS (Bull-Case)'!AH28-'CFS (Base-Case)'!AH28</f>
        <v>0</v>
      </c>
      <c r="AI28" s="323">
        <f>'CFS (Bull-Case)'!AI28-'CFS (Base-Case)'!AI28</f>
        <v>0</v>
      </c>
      <c r="AJ28" s="323">
        <f>'CFS (Bull-Case)'!AJ28-'CFS (Base-Case)'!AJ28</f>
        <v>0</v>
      </c>
      <c r="AK28" s="323">
        <f>'CFS (Bull-Case)'!AK28-'CFS (Base-Case)'!AK28</f>
        <v>0</v>
      </c>
      <c r="AL28" s="324">
        <f>'CFS (Bull-Case)'!AL28-'CFS (Base-Case)'!AL28</f>
        <v>0</v>
      </c>
      <c r="AM28" s="323">
        <f>'CFS (Bull-Case)'!AM28-'CFS (Base-Case)'!AM28</f>
        <v>0</v>
      </c>
      <c r="AN28" s="323">
        <f>'CFS (Bull-Case)'!AN28-'CFS (Base-Case)'!AN28</f>
        <v>0</v>
      </c>
      <c r="AO28" s="323">
        <f>'CFS (Bull-Case)'!AO28-'CFS (Base-Case)'!AO28</f>
        <v>0</v>
      </c>
      <c r="AP28" s="323">
        <f>'CFS (Bull-Case)'!AP28-'CFS (Base-Case)'!AP28</f>
        <v>0</v>
      </c>
      <c r="AQ28" s="324">
        <f>'CFS (Bull-Case)'!AQ28-'CFS (Base-Case)'!AQ28</f>
        <v>0</v>
      </c>
      <c r="AR28" s="323">
        <f>'CFS (Bull-Case)'!AR28-'CFS (Base-Case)'!AR28</f>
        <v>0</v>
      </c>
      <c r="AS28" s="323">
        <f>'CFS (Bull-Case)'!AS28-'CFS (Base-Case)'!AS28</f>
        <v>0</v>
      </c>
      <c r="AT28" s="323">
        <f>'CFS (Bull-Case)'!AT28-'CFS (Base-Case)'!AT28</f>
        <v>0</v>
      </c>
      <c r="AU28" s="323">
        <f>'CFS (Bull-Case)'!AU28-'CFS (Base-Case)'!AU28</f>
        <v>0</v>
      </c>
      <c r="AV28" s="324">
        <f>'CFS (Bull-Case)'!AV28-'CFS (Base-Case)'!AV28</f>
        <v>0</v>
      </c>
    </row>
    <row r="29" spans="2:48" outlineLevel="1" x14ac:dyDescent="0.3">
      <c r="B29" s="485" t="s">
        <v>264</v>
      </c>
      <c r="C29" s="486"/>
      <c r="D29" s="327">
        <f>'CFS (Bull-Case)'!D29-'CFS (Base-Case)'!D29</f>
        <v>0</v>
      </c>
      <c r="E29" s="327">
        <f>'CFS (Bull-Case)'!E29-'CFS (Base-Case)'!E29</f>
        <v>0</v>
      </c>
      <c r="F29" s="327">
        <f>'CFS (Bull-Case)'!F29-'CFS (Base-Case)'!F29</f>
        <v>0</v>
      </c>
      <c r="G29" s="327">
        <f>'CFS (Bull-Case)'!G29-'CFS (Base-Case)'!G29</f>
        <v>0</v>
      </c>
      <c r="H29" s="328">
        <f>'CFS (Bull-Case)'!H29-'CFS (Base-Case)'!H29</f>
        <v>0</v>
      </c>
      <c r="I29" s="327">
        <f>'CFS (Bull-Case)'!I29-'CFS (Base-Case)'!I29</f>
        <v>0</v>
      </c>
      <c r="J29" s="327">
        <f>'CFS (Bull-Case)'!J29-'CFS (Base-Case)'!J29</f>
        <v>0</v>
      </c>
      <c r="K29" s="327">
        <f>'CFS (Bull-Case)'!K29-'CFS (Base-Case)'!K29</f>
        <v>0</v>
      </c>
      <c r="L29" s="327">
        <f>'CFS (Bull-Case)'!L29-'CFS (Base-Case)'!L29</f>
        <v>0</v>
      </c>
      <c r="M29" s="328">
        <f>'CFS (Bull-Case)'!M29-'CFS (Base-Case)'!M29</f>
        <v>0</v>
      </c>
      <c r="N29" s="327">
        <f>'CFS (Bull-Case)'!N29-'CFS (Base-Case)'!N29</f>
        <v>0</v>
      </c>
      <c r="O29" s="327">
        <f>'CFS (Bull-Case)'!O29-'CFS (Base-Case)'!O29</f>
        <v>0</v>
      </c>
      <c r="P29" s="327">
        <f>'CFS (Bull-Case)'!P29-'CFS (Base-Case)'!P29</f>
        <v>0</v>
      </c>
      <c r="Q29" s="327">
        <f>'CFS (Bull-Case)'!Q29-'CFS (Base-Case)'!Q29</f>
        <v>0</v>
      </c>
      <c r="R29" s="328">
        <f>'CFS (Bull-Case)'!R29-'CFS (Base-Case)'!R29</f>
        <v>0</v>
      </c>
      <c r="S29" s="327">
        <f>'CFS (Bull-Case)'!S29-'CFS (Base-Case)'!S29</f>
        <v>0</v>
      </c>
      <c r="T29" s="327">
        <f>'CFS (Bull-Case)'!T29-'CFS (Base-Case)'!T29</f>
        <v>0</v>
      </c>
      <c r="U29" s="327">
        <f>'CFS (Bull-Case)'!U29-'CFS (Base-Case)'!U29</f>
        <v>0</v>
      </c>
      <c r="V29" s="327">
        <f>'CFS (Bull-Case)'!V29-'CFS (Base-Case)'!V29</f>
        <v>0</v>
      </c>
      <c r="W29" s="328">
        <f>'CFS (Bull-Case)'!W29-'CFS (Base-Case)'!W29</f>
        <v>0</v>
      </c>
      <c r="X29" s="327">
        <f>'CFS (Bull-Case)'!X29-'CFS (Base-Case)'!X29</f>
        <v>0</v>
      </c>
      <c r="Y29" s="327">
        <f>'CFS (Bull-Case)'!Y29-'CFS (Base-Case)'!Y29</f>
        <v>0</v>
      </c>
      <c r="Z29" s="327">
        <f>'CFS (Bull-Case)'!Z29-'CFS (Base-Case)'!Z29</f>
        <v>0</v>
      </c>
      <c r="AA29" s="327">
        <f>'CFS (Bull-Case)'!AA29-'CFS (Base-Case)'!AA29</f>
        <v>0</v>
      </c>
      <c r="AB29" s="328">
        <f>'CFS (Bull-Case)'!AB29-'CFS (Base-Case)'!AB29</f>
        <v>0</v>
      </c>
      <c r="AC29" s="327">
        <f>'CFS (Bull-Case)'!AC29-'CFS (Base-Case)'!AC29</f>
        <v>0</v>
      </c>
      <c r="AD29" s="327">
        <f>'CFS (Bull-Case)'!AD29-'CFS (Base-Case)'!AD29</f>
        <v>0</v>
      </c>
      <c r="AE29" s="327">
        <f>'CFS (Bull-Case)'!AE29-'CFS (Base-Case)'!AE29</f>
        <v>0</v>
      </c>
      <c r="AF29" s="327">
        <f>'CFS (Bull-Case)'!AF29-'CFS (Base-Case)'!AF29</f>
        <v>0</v>
      </c>
      <c r="AG29" s="328">
        <f>'CFS (Bull-Case)'!AG29-'CFS (Base-Case)'!AG29</f>
        <v>0</v>
      </c>
      <c r="AH29" s="327">
        <f>'CFS (Bull-Case)'!AH29-'CFS (Base-Case)'!AH29</f>
        <v>0</v>
      </c>
      <c r="AI29" s="327">
        <f>'CFS (Bull-Case)'!AI29-'CFS (Base-Case)'!AI29</f>
        <v>0</v>
      </c>
      <c r="AJ29" s="327">
        <f>'CFS (Bull-Case)'!AJ29-'CFS (Base-Case)'!AJ29</f>
        <v>-1466.3660628610342</v>
      </c>
      <c r="AK29" s="327">
        <f>'CFS (Bull-Case)'!AK29-'CFS (Base-Case)'!AK29</f>
        <v>0</v>
      </c>
      <c r="AL29" s="328">
        <f>'CFS (Bull-Case)'!AL29-'CFS (Base-Case)'!AL29</f>
        <v>-1466.3660628610342</v>
      </c>
      <c r="AM29" s="327">
        <f>'CFS (Bull-Case)'!AM29-'CFS (Base-Case)'!AM29</f>
        <v>0</v>
      </c>
      <c r="AN29" s="327">
        <f>'CFS (Bull-Case)'!AN29-'CFS (Base-Case)'!AN29</f>
        <v>0</v>
      </c>
      <c r="AO29" s="327">
        <f>'CFS (Bull-Case)'!AO29-'CFS (Base-Case)'!AO29</f>
        <v>0</v>
      </c>
      <c r="AP29" s="327">
        <f>'CFS (Bull-Case)'!AP29-'CFS (Base-Case)'!AP29</f>
        <v>0</v>
      </c>
      <c r="AQ29" s="328">
        <f>'CFS (Bull-Case)'!AQ29-'CFS (Base-Case)'!AQ29</f>
        <v>0</v>
      </c>
      <c r="AR29" s="327">
        <f>'CFS (Bull-Case)'!AR29-'CFS (Base-Case)'!AR29</f>
        <v>0</v>
      </c>
      <c r="AS29" s="327">
        <f>'CFS (Bull-Case)'!AS29-'CFS (Base-Case)'!AS29</f>
        <v>0</v>
      </c>
      <c r="AT29" s="327">
        <f>'CFS (Bull-Case)'!AT29-'CFS (Base-Case)'!AT29</f>
        <v>0</v>
      </c>
      <c r="AU29" s="327">
        <f>'CFS (Bull-Case)'!AU29-'CFS (Base-Case)'!AU29</f>
        <v>0</v>
      </c>
      <c r="AV29" s="328">
        <f>'CFS (Bull-Case)'!AV29-'CFS (Base-Case)'!AV29</f>
        <v>0</v>
      </c>
    </row>
    <row r="30" spans="2:48" outlineLevel="1" x14ac:dyDescent="0.3">
      <c r="B30" s="325" t="s">
        <v>288</v>
      </c>
      <c r="C30" s="326"/>
      <c r="D30" s="327">
        <f>'CFS (Bull-Case)'!D30-'CFS (Base-Case)'!D30</f>
        <v>0</v>
      </c>
      <c r="E30" s="327">
        <f>'CFS (Bull-Case)'!E30-'CFS (Base-Case)'!E30</f>
        <v>0</v>
      </c>
      <c r="F30" s="327">
        <f>'CFS (Bull-Case)'!F30-'CFS (Base-Case)'!F30</f>
        <v>0</v>
      </c>
      <c r="G30" s="327">
        <f>'CFS (Bull-Case)'!G30-'CFS (Base-Case)'!G30</f>
        <v>0</v>
      </c>
      <c r="H30" s="328">
        <f>'CFS (Bull-Case)'!H30-'CFS (Base-Case)'!H30</f>
        <v>0</v>
      </c>
      <c r="I30" s="327">
        <f>'CFS (Bull-Case)'!I30-'CFS (Base-Case)'!I30</f>
        <v>0</v>
      </c>
      <c r="J30" s="327">
        <f>'CFS (Bull-Case)'!J30-'CFS (Base-Case)'!J30</f>
        <v>0</v>
      </c>
      <c r="K30" s="327">
        <f>'CFS (Bull-Case)'!K30-'CFS (Base-Case)'!K30</f>
        <v>0</v>
      </c>
      <c r="L30" s="327">
        <f>'CFS (Bull-Case)'!L30-'CFS (Base-Case)'!L30</f>
        <v>0</v>
      </c>
      <c r="M30" s="328">
        <f>'CFS (Bull-Case)'!M30-'CFS (Base-Case)'!M30</f>
        <v>0</v>
      </c>
      <c r="N30" s="327">
        <f>'CFS (Bull-Case)'!N30-'CFS (Base-Case)'!N30</f>
        <v>0</v>
      </c>
      <c r="O30" s="327">
        <f>'CFS (Bull-Case)'!O30-'CFS (Base-Case)'!O30</f>
        <v>0</v>
      </c>
      <c r="P30" s="327">
        <f>'CFS (Bull-Case)'!P30-'CFS (Base-Case)'!P30</f>
        <v>0</v>
      </c>
      <c r="Q30" s="327">
        <f>'CFS (Bull-Case)'!Q30-'CFS (Base-Case)'!Q30</f>
        <v>0</v>
      </c>
      <c r="R30" s="328">
        <f>'CFS (Bull-Case)'!R30-'CFS (Base-Case)'!R30</f>
        <v>0</v>
      </c>
      <c r="S30" s="327">
        <f>'CFS (Bull-Case)'!S30-'CFS (Base-Case)'!S30</f>
        <v>0</v>
      </c>
      <c r="T30" s="327">
        <f>'CFS (Bull-Case)'!T30-'CFS (Base-Case)'!T30</f>
        <v>0</v>
      </c>
      <c r="U30" s="327">
        <f>'CFS (Bull-Case)'!U30-'CFS (Base-Case)'!U30</f>
        <v>0</v>
      </c>
      <c r="V30" s="327">
        <f>'CFS (Bull-Case)'!V30-'CFS (Base-Case)'!V30</f>
        <v>0</v>
      </c>
      <c r="W30" s="328">
        <f>'CFS (Bull-Case)'!W30-'CFS (Base-Case)'!W30</f>
        <v>0</v>
      </c>
      <c r="X30" s="327">
        <f>'CFS (Bull-Case)'!X30-'CFS (Base-Case)'!X30</f>
        <v>0</v>
      </c>
      <c r="Y30" s="327">
        <f>'CFS (Bull-Case)'!Y30-'CFS (Base-Case)'!Y30</f>
        <v>0</v>
      </c>
      <c r="Z30" s="327">
        <f>'CFS (Bull-Case)'!Z30-'CFS (Base-Case)'!Z30</f>
        <v>0</v>
      </c>
      <c r="AA30" s="327">
        <f>'CFS (Bull-Case)'!AA30-'CFS (Base-Case)'!AA30</f>
        <v>0</v>
      </c>
      <c r="AB30" s="328">
        <f>'CFS (Bull-Case)'!AB30-'CFS (Base-Case)'!AB30</f>
        <v>0</v>
      </c>
      <c r="AC30" s="327">
        <f>'CFS (Bull-Case)'!AC30-'CFS (Base-Case)'!AC30</f>
        <v>0</v>
      </c>
      <c r="AD30" s="327">
        <f>'CFS (Bull-Case)'!AD30-'CFS (Base-Case)'!AD30</f>
        <v>0</v>
      </c>
      <c r="AE30" s="327">
        <f>'CFS (Bull-Case)'!AE30-'CFS (Base-Case)'!AE30</f>
        <v>0</v>
      </c>
      <c r="AF30" s="327">
        <f>'CFS (Bull-Case)'!AF30-'CFS (Base-Case)'!AF30</f>
        <v>0</v>
      </c>
      <c r="AG30" s="328">
        <f>'CFS (Bull-Case)'!AG30-'CFS (Base-Case)'!AG30</f>
        <v>0</v>
      </c>
      <c r="AH30" s="327">
        <f>'CFS (Bull-Case)'!AH30-'CFS (Base-Case)'!AH30</f>
        <v>0</v>
      </c>
      <c r="AI30" s="327">
        <f>'CFS (Bull-Case)'!AI30-'CFS (Base-Case)'!AI30</f>
        <v>0</v>
      </c>
      <c r="AJ30" s="327">
        <f>'CFS (Bull-Case)'!AJ30-'CFS (Base-Case)'!AJ30</f>
        <v>0</v>
      </c>
      <c r="AK30" s="327">
        <f>'CFS (Bull-Case)'!AK30-'CFS (Base-Case)'!AK30</f>
        <v>0</v>
      </c>
      <c r="AL30" s="328">
        <f>'CFS (Bull-Case)'!AL30-'CFS (Base-Case)'!AL30</f>
        <v>0</v>
      </c>
      <c r="AM30" s="327">
        <f>'CFS (Bull-Case)'!AM30-'CFS (Base-Case)'!AM30</f>
        <v>0</v>
      </c>
      <c r="AN30" s="327">
        <f>'CFS (Bull-Case)'!AN30-'CFS (Base-Case)'!AN30</f>
        <v>0</v>
      </c>
      <c r="AO30" s="327">
        <f>'CFS (Bull-Case)'!AO30-'CFS (Base-Case)'!AO30</f>
        <v>0</v>
      </c>
      <c r="AP30" s="327">
        <f>'CFS (Bull-Case)'!AP30-'CFS (Base-Case)'!AP30</f>
        <v>0</v>
      </c>
      <c r="AQ30" s="328">
        <f>'CFS (Bull-Case)'!AQ30-'CFS (Base-Case)'!AQ30</f>
        <v>0</v>
      </c>
      <c r="AR30" s="327">
        <f>'CFS (Bull-Case)'!AR30-'CFS (Base-Case)'!AR30</f>
        <v>0</v>
      </c>
      <c r="AS30" s="327">
        <f>'CFS (Bull-Case)'!AS30-'CFS (Base-Case)'!AS30</f>
        <v>0</v>
      </c>
      <c r="AT30" s="327">
        <f>'CFS (Bull-Case)'!AT30-'CFS (Base-Case)'!AT30</f>
        <v>0</v>
      </c>
      <c r="AU30" s="327">
        <f>'CFS (Bull-Case)'!AU30-'CFS (Base-Case)'!AU30</f>
        <v>0</v>
      </c>
      <c r="AV30" s="328">
        <f>'CFS (Bull-Case)'!AV30-'CFS (Base-Case)'!AV30</f>
        <v>0</v>
      </c>
    </row>
    <row r="31" spans="2:48" outlineLevel="1" x14ac:dyDescent="0.3">
      <c r="B31" s="325" t="s">
        <v>289</v>
      </c>
      <c r="C31" s="326"/>
      <c r="D31" s="327">
        <f>'CFS (Bull-Case)'!D31-'CFS (Base-Case)'!D31</f>
        <v>0</v>
      </c>
      <c r="E31" s="327">
        <f>'CFS (Bull-Case)'!E31-'CFS (Base-Case)'!E31</f>
        <v>0</v>
      </c>
      <c r="F31" s="327">
        <f>'CFS (Bull-Case)'!F31-'CFS (Base-Case)'!F31</f>
        <v>0</v>
      </c>
      <c r="G31" s="327">
        <f>'CFS (Bull-Case)'!G31-'CFS (Base-Case)'!G31</f>
        <v>0</v>
      </c>
      <c r="H31" s="328">
        <f>'CFS (Bull-Case)'!H31-'CFS (Base-Case)'!H31</f>
        <v>0</v>
      </c>
      <c r="I31" s="327">
        <f>'CFS (Bull-Case)'!I31-'CFS (Base-Case)'!I31</f>
        <v>0</v>
      </c>
      <c r="J31" s="327">
        <f>'CFS (Bull-Case)'!J31-'CFS (Base-Case)'!J31</f>
        <v>0</v>
      </c>
      <c r="K31" s="327">
        <f>'CFS (Bull-Case)'!K31-'CFS (Base-Case)'!K31</f>
        <v>0</v>
      </c>
      <c r="L31" s="327">
        <f>'CFS (Bull-Case)'!L31-'CFS (Base-Case)'!L31</f>
        <v>0</v>
      </c>
      <c r="M31" s="328">
        <f>'CFS (Bull-Case)'!M31-'CFS (Base-Case)'!M31</f>
        <v>0</v>
      </c>
      <c r="N31" s="327">
        <f>'CFS (Bull-Case)'!N31-'CFS (Base-Case)'!N31</f>
        <v>0</v>
      </c>
      <c r="O31" s="327">
        <f>'CFS (Bull-Case)'!O31-'CFS (Base-Case)'!O31</f>
        <v>0</v>
      </c>
      <c r="P31" s="327">
        <f>'CFS (Bull-Case)'!P31-'CFS (Base-Case)'!P31</f>
        <v>0</v>
      </c>
      <c r="Q31" s="327">
        <f>'CFS (Bull-Case)'!Q31-'CFS (Base-Case)'!Q31</f>
        <v>0</v>
      </c>
      <c r="R31" s="328">
        <f>'CFS (Bull-Case)'!R31-'CFS (Base-Case)'!R31</f>
        <v>0</v>
      </c>
      <c r="S31" s="327">
        <f>'CFS (Bull-Case)'!S31-'CFS (Base-Case)'!S31</f>
        <v>0</v>
      </c>
      <c r="T31" s="327">
        <f>'CFS (Bull-Case)'!T31-'CFS (Base-Case)'!T31</f>
        <v>0</v>
      </c>
      <c r="U31" s="327">
        <f>'CFS (Bull-Case)'!U31-'CFS (Base-Case)'!U31</f>
        <v>0</v>
      </c>
      <c r="V31" s="327">
        <f>'CFS (Bull-Case)'!V31-'CFS (Base-Case)'!V31</f>
        <v>0</v>
      </c>
      <c r="W31" s="328">
        <f>'CFS (Bull-Case)'!W31-'CFS (Base-Case)'!W31</f>
        <v>0</v>
      </c>
      <c r="X31" s="327">
        <f>'CFS (Bull-Case)'!X31-'CFS (Base-Case)'!X31</f>
        <v>0</v>
      </c>
      <c r="Y31" s="327">
        <f>'CFS (Bull-Case)'!Y31-'CFS (Base-Case)'!Y31</f>
        <v>0</v>
      </c>
      <c r="Z31" s="327">
        <f>'CFS (Bull-Case)'!Z31-'CFS (Base-Case)'!Z31</f>
        <v>0</v>
      </c>
      <c r="AA31" s="327">
        <f>'CFS (Bull-Case)'!AA31-'CFS (Base-Case)'!AA31</f>
        <v>0</v>
      </c>
      <c r="AB31" s="328">
        <f>'CFS (Bull-Case)'!AB31-'CFS (Base-Case)'!AB31</f>
        <v>0</v>
      </c>
      <c r="AC31" s="327">
        <f>'CFS (Bull-Case)'!AC31-'CFS (Base-Case)'!AC31</f>
        <v>0</v>
      </c>
      <c r="AD31" s="327">
        <f>'CFS (Bull-Case)'!AD31-'CFS (Base-Case)'!AD31</f>
        <v>0</v>
      </c>
      <c r="AE31" s="327">
        <f>'CFS (Bull-Case)'!AE31-'CFS (Base-Case)'!AE31</f>
        <v>0</v>
      </c>
      <c r="AF31" s="327">
        <f>'CFS (Bull-Case)'!AF31-'CFS (Base-Case)'!AF31</f>
        <v>0</v>
      </c>
      <c r="AG31" s="328">
        <f>'CFS (Bull-Case)'!AG31-'CFS (Base-Case)'!AG31</f>
        <v>0</v>
      </c>
      <c r="AH31" s="327">
        <f>'CFS (Bull-Case)'!AH31-'CFS (Base-Case)'!AH31</f>
        <v>0</v>
      </c>
      <c r="AI31" s="327">
        <f>'CFS (Bull-Case)'!AI31-'CFS (Base-Case)'!AI31</f>
        <v>0</v>
      </c>
      <c r="AJ31" s="327">
        <f>'CFS (Bull-Case)'!AJ31-'CFS (Base-Case)'!AJ31</f>
        <v>0</v>
      </c>
      <c r="AK31" s="327">
        <f>'CFS (Bull-Case)'!AK31-'CFS (Base-Case)'!AK31</f>
        <v>0</v>
      </c>
      <c r="AL31" s="328">
        <f>'CFS (Bull-Case)'!AL31-'CFS (Base-Case)'!AL31</f>
        <v>0</v>
      </c>
      <c r="AM31" s="327">
        <f>'CFS (Bull-Case)'!AM31-'CFS (Base-Case)'!AM31</f>
        <v>0</v>
      </c>
      <c r="AN31" s="327">
        <f>'CFS (Bull-Case)'!AN31-'CFS (Base-Case)'!AN31</f>
        <v>0</v>
      </c>
      <c r="AO31" s="327">
        <f>'CFS (Bull-Case)'!AO31-'CFS (Base-Case)'!AO31</f>
        <v>0</v>
      </c>
      <c r="AP31" s="327">
        <f>'CFS (Bull-Case)'!AP31-'CFS (Base-Case)'!AP31</f>
        <v>0</v>
      </c>
      <c r="AQ31" s="328">
        <f>'CFS (Bull-Case)'!AQ31-'CFS (Base-Case)'!AQ31</f>
        <v>0</v>
      </c>
      <c r="AR31" s="327">
        <f>'CFS (Bull-Case)'!AR31-'CFS (Base-Case)'!AR31</f>
        <v>0</v>
      </c>
      <c r="AS31" s="327">
        <f>'CFS (Bull-Case)'!AS31-'CFS (Base-Case)'!AS31</f>
        <v>0</v>
      </c>
      <c r="AT31" s="327">
        <f>'CFS (Bull-Case)'!AT31-'CFS (Base-Case)'!AT31</f>
        <v>0</v>
      </c>
      <c r="AU31" s="327">
        <f>'CFS (Bull-Case)'!AU31-'CFS (Base-Case)'!AU31</f>
        <v>0</v>
      </c>
      <c r="AV31" s="328">
        <f>'CFS (Bull-Case)'!AV31-'CFS (Base-Case)'!AV31</f>
        <v>0</v>
      </c>
    </row>
    <row r="32" spans="2:48" outlineLevel="1" x14ac:dyDescent="0.3">
      <c r="B32" s="325" t="s">
        <v>290</v>
      </c>
      <c r="C32" s="326"/>
      <c r="D32" s="327">
        <f>'CFS (Bull-Case)'!D32-'CFS (Base-Case)'!D32</f>
        <v>0</v>
      </c>
      <c r="E32" s="327">
        <f>'CFS (Bull-Case)'!E32-'CFS (Base-Case)'!E32</f>
        <v>0</v>
      </c>
      <c r="F32" s="327">
        <f>'CFS (Bull-Case)'!F32-'CFS (Base-Case)'!F32</f>
        <v>0</v>
      </c>
      <c r="G32" s="327">
        <f>'CFS (Bull-Case)'!G32-'CFS (Base-Case)'!G32</f>
        <v>0</v>
      </c>
      <c r="H32" s="328">
        <f>'CFS (Bull-Case)'!H32-'CFS (Base-Case)'!H32</f>
        <v>0</v>
      </c>
      <c r="I32" s="327">
        <f>'CFS (Bull-Case)'!I32-'CFS (Base-Case)'!I32</f>
        <v>0</v>
      </c>
      <c r="J32" s="327">
        <f>'CFS (Bull-Case)'!J32-'CFS (Base-Case)'!J32</f>
        <v>0</v>
      </c>
      <c r="K32" s="327">
        <f>'CFS (Bull-Case)'!K32-'CFS (Base-Case)'!K32</f>
        <v>0</v>
      </c>
      <c r="L32" s="327">
        <f>'CFS (Bull-Case)'!L32-'CFS (Base-Case)'!L32</f>
        <v>0</v>
      </c>
      <c r="M32" s="328">
        <f>'CFS (Bull-Case)'!M32-'CFS (Base-Case)'!M32</f>
        <v>0</v>
      </c>
      <c r="N32" s="327">
        <f>'CFS (Bull-Case)'!N32-'CFS (Base-Case)'!N32</f>
        <v>0</v>
      </c>
      <c r="O32" s="327">
        <f>'CFS (Bull-Case)'!O32-'CFS (Base-Case)'!O32</f>
        <v>0</v>
      </c>
      <c r="P32" s="327">
        <f>'CFS (Bull-Case)'!P32-'CFS (Base-Case)'!P32</f>
        <v>0</v>
      </c>
      <c r="Q32" s="327">
        <f>'CFS (Bull-Case)'!Q32-'CFS (Base-Case)'!Q32</f>
        <v>0</v>
      </c>
      <c r="R32" s="328">
        <f>'CFS (Bull-Case)'!R32-'CFS (Base-Case)'!R32</f>
        <v>0</v>
      </c>
      <c r="S32" s="327">
        <f>'CFS (Bull-Case)'!S32-'CFS (Base-Case)'!S32</f>
        <v>0</v>
      </c>
      <c r="T32" s="327">
        <f>'CFS (Bull-Case)'!T32-'CFS (Base-Case)'!T32</f>
        <v>0</v>
      </c>
      <c r="U32" s="327">
        <f>'CFS (Bull-Case)'!U32-'CFS (Base-Case)'!U32</f>
        <v>0</v>
      </c>
      <c r="V32" s="327">
        <f>'CFS (Bull-Case)'!V32-'CFS (Base-Case)'!V32</f>
        <v>0</v>
      </c>
      <c r="W32" s="328">
        <f>'CFS (Bull-Case)'!W32-'CFS (Base-Case)'!W32</f>
        <v>0</v>
      </c>
      <c r="X32" s="327">
        <f>'CFS (Bull-Case)'!X32-'CFS (Base-Case)'!X32</f>
        <v>0</v>
      </c>
      <c r="Y32" s="327">
        <f>'CFS (Bull-Case)'!Y32-'CFS (Base-Case)'!Y32</f>
        <v>0</v>
      </c>
      <c r="Z32" s="327">
        <f>'CFS (Bull-Case)'!Z32-'CFS (Base-Case)'!Z32</f>
        <v>0</v>
      </c>
      <c r="AA32" s="327">
        <f>'CFS (Bull-Case)'!AA32-'CFS (Base-Case)'!AA32</f>
        <v>0</v>
      </c>
      <c r="AB32" s="328">
        <f>'CFS (Bull-Case)'!AB32-'CFS (Base-Case)'!AB32</f>
        <v>0</v>
      </c>
      <c r="AC32" s="327">
        <f>'CFS (Bull-Case)'!AC32-'CFS (Base-Case)'!AC32</f>
        <v>0</v>
      </c>
      <c r="AD32" s="327">
        <f>'CFS (Bull-Case)'!AD32-'CFS (Base-Case)'!AD32</f>
        <v>0</v>
      </c>
      <c r="AE32" s="327">
        <f>'CFS (Bull-Case)'!AE32-'CFS (Base-Case)'!AE32</f>
        <v>0</v>
      </c>
      <c r="AF32" s="327">
        <f>'CFS (Bull-Case)'!AF32-'CFS (Base-Case)'!AF32</f>
        <v>0</v>
      </c>
      <c r="AG32" s="328">
        <f>'CFS (Bull-Case)'!AG32-'CFS (Base-Case)'!AG32</f>
        <v>0</v>
      </c>
      <c r="AH32" s="327">
        <f>'CFS (Bull-Case)'!AH32-'CFS (Base-Case)'!AH32</f>
        <v>0</v>
      </c>
      <c r="AI32" s="327">
        <f>'CFS (Bull-Case)'!AI32-'CFS (Base-Case)'!AI32</f>
        <v>0</v>
      </c>
      <c r="AJ32" s="327">
        <f>'CFS (Bull-Case)'!AJ32-'CFS (Base-Case)'!AJ32</f>
        <v>0</v>
      </c>
      <c r="AK32" s="327">
        <f>'CFS (Bull-Case)'!AK32-'CFS (Base-Case)'!AK32</f>
        <v>0</v>
      </c>
      <c r="AL32" s="328">
        <f>'CFS (Bull-Case)'!AL32-'CFS (Base-Case)'!AL32</f>
        <v>0</v>
      </c>
      <c r="AM32" s="327">
        <f>'CFS (Bull-Case)'!AM32-'CFS (Base-Case)'!AM32</f>
        <v>0</v>
      </c>
      <c r="AN32" s="327">
        <f>'CFS (Bull-Case)'!AN32-'CFS (Base-Case)'!AN32</f>
        <v>0</v>
      </c>
      <c r="AO32" s="327">
        <f>'CFS (Bull-Case)'!AO32-'CFS (Base-Case)'!AO32</f>
        <v>0</v>
      </c>
      <c r="AP32" s="327">
        <f>'CFS (Bull-Case)'!AP32-'CFS (Base-Case)'!AP32</f>
        <v>0</v>
      </c>
      <c r="AQ32" s="328">
        <f>'CFS (Bull-Case)'!AQ32-'CFS (Base-Case)'!AQ32</f>
        <v>0</v>
      </c>
      <c r="AR32" s="327">
        <f>'CFS (Bull-Case)'!AR32-'CFS (Base-Case)'!AR32</f>
        <v>0</v>
      </c>
      <c r="AS32" s="327">
        <f>'CFS (Bull-Case)'!AS32-'CFS (Base-Case)'!AS32</f>
        <v>0</v>
      </c>
      <c r="AT32" s="327">
        <f>'CFS (Bull-Case)'!AT32-'CFS (Base-Case)'!AT32</f>
        <v>0</v>
      </c>
      <c r="AU32" s="327">
        <f>'CFS (Bull-Case)'!AU32-'CFS (Base-Case)'!AU32</f>
        <v>0</v>
      </c>
      <c r="AV32" s="328">
        <f>'CFS (Bull-Case)'!AV32-'CFS (Base-Case)'!AV32</f>
        <v>0</v>
      </c>
    </row>
    <row r="33" spans="2:48" outlineLevel="1" x14ac:dyDescent="0.3">
      <c r="B33" s="325" t="s">
        <v>291</v>
      </c>
      <c r="C33" s="326"/>
      <c r="D33" s="327">
        <f>'CFS (Bull-Case)'!D33-'CFS (Base-Case)'!D33</f>
        <v>0</v>
      </c>
      <c r="E33" s="327">
        <f>'CFS (Bull-Case)'!E33-'CFS (Base-Case)'!E33</f>
        <v>0</v>
      </c>
      <c r="F33" s="327">
        <f>'CFS (Bull-Case)'!F33-'CFS (Base-Case)'!F33</f>
        <v>0</v>
      </c>
      <c r="G33" s="327">
        <f>'CFS (Bull-Case)'!G33-'CFS (Base-Case)'!G33</f>
        <v>0</v>
      </c>
      <c r="H33" s="328">
        <f>'CFS (Bull-Case)'!H33-'CFS (Base-Case)'!H33</f>
        <v>0</v>
      </c>
      <c r="I33" s="327">
        <f>'CFS (Bull-Case)'!I33-'CFS (Base-Case)'!I33</f>
        <v>0</v>
      </c>
      <c r="J33" s="327">
        <f>'CFS (Bull-Case)'!J33-'CFS (Base-Case)'!J33</f>
        <v>0</v>
      </c>
      <c r="K33" s="327">
        <f>'CFS (Bull-Case)'!K33-'CFS (Base-Case)'!K33</f>
        <v>0</v>
      </c>
      <c r="L33" s="327">
        <f>'CFS (Bull-Case)'!L33-'CFS (Base-Case)'!L33</f>
        <v>0</v>
      </c>
      <c r="M33" s="328">
        <f>'CFS (Bull-Case)'!M33-'CFS (Base-Case)'!M33</f>
        <v>0</v>
      </c>
      <c r="N33" s="327">
        <f>'CFS (Bull-Case)'!N33-'CFS (Base-Case)'!N33</f>
        <v>0</v>
      </c>
      <c r="O33" s="327">
        <f>'CFS (Bull-Case)'!O33-'CFS (Base-Case)'!O33</f>
        <v>0</v>
      </c>
      <c r="P33" s="327">
        <f>'CFS (Bull-Case)'!P33-'CFS (Base-Case)'!P33</f>
        <v>0</v>
      </c>
      <c r="Q33" s="327">
        <f>'CFS (Bull-Case)'!Q33-'CFS (Base-Case)'!Q33</f>
        <v>0</v>
      </c>
      <c r="R33" s="328">
        <f>'CFS (Bull-Case)'!R33-'CFS (Base-Case)'!R33</f>
        <v>0</v>
      </c>
      <c r="S33" s="327">
        <f>'CFS (Bull-Case)'!S33-'CFS (Base-Case)'!S33</f>
        <v>0</v>
      </c>
      <c r="T33" s="327">
        <f>'CFS (Bull-Case)'!T33-'CFS (Base-Case)'!T33</f>
        <v>0</v>
      </c>
      <c r="U33" s="327">
        <f>'CFS (Bull-Case)'!U33-'CFS (Base-Case)'!U33</f>
        <v>0</v>
      </c>
      <c r="V33" s="327">
        <f>'CFS (Bull-Case)'!V33-'CFS (Base-Case)'!V33</f>
        <v>0</v>
      </c>
      <c r="W33" s="328">
        <f>'CFS (Bull-Case)'!W33-'CFS (Base-Case)'!W33</f>
        <v>0</v>
      </c>
      <c r="X33" s="327">
        <f>'CFS (Bull-Case)'!X33-'CFS (Base-Case)'!X33</f>
        <v>0</v>
      </c>
      <c r="Y33" s="327">
        <f>'CFS (Bull-Case)'!Y33-'CFS (Base-Case)'!Y33</f>
        <v>0</v>
      </c>
      <c r="Z33" s="327">
        <f>'CFS (Bull-Case)'!Z33-'CFS (Base-Case)'!Z33</f>
        <v>0</v>
      </c>
      <c r="AA33" s="327">
        <f>'CFS (Bull-Case)'!AA33-'CFS (Base-Case)'!AA33</f>
        <v>0</v>
      </c>
      <c r="AB33" s="328">
        <f>'CFS (Bull-Case)'!AB33-'CFS (Base-Case)'!AB33</f>
        <v>0</v>
      </c>
      <c r="AC33" s="327">
        <f>'CFS (Bull-Case)'!AC33-'CFS (Base-Case)'!AC33</f>
        <v>0</v>
      </c>
      <c r="AD33" s="327">
        <f>'CFS (Bull-Case)'!AD33-'CFS (Base-Case)'!AD33</f>
        <v>0</v>
      </c>
      <c r="AE33" s="327">
        <f>'CFS (Bull-Case)'!AE33-'CFS (Base-Case)'!AE33</f>
        <v>0</v>
      </c>
      <c r="AF33" s="327">
        <f>'CFS (Bull-Case)'!AF33-'CFS (Base-Case)'!AF33</f>
        <v>0</v>
      </c>
      <c r="AG33" s="328">
        <f>'CFS (Bull-Case)'!AG33-'CFS (Base-Case)'!AG33</f>
        <v>0</v>
      </c>
      <c r="AH33" s="327">
        <f>'CFS (Bull-Case)'!AH33-'CFS (Base-Case)'!AH33</f>
        <v>0</v>
      </c>
      <c r="AI33" s="327">
        <f>'CFS (Bull-Case)'!AI33-'CFS (Base-Case)'!AI33</f>
        <v>0</v>
      </c>
      <c r="AJ33" s="327">
        <f>'CFS (Bull-Case)'!AJ33-'CFS (Base-Case)'!AJ33</f>
        <v>-6.0222824450875123E-3</v>
      </c>
      <c r="AK33" s="327">
        <f>'CFS (Bull-Case)'!AK33-'CFS (Base-Case)'!AK33</f>
        <v>-31.50789046569912</v>
      </c>
      <c r="AL33" s="328">
        <f>'CFS (Bull-Case)'!AL33-'CFS (Base-Case)'!AL33</f>
        <v>-31.513912748144321</v>
      </c>
      <c r="AM33" s="327">
        <f>'CFS (Bull-Case)'!AM33-'CFS (Base-Case)'!AM33</f>
        <v>-31.57090624663067</v>
      </c>
      <c r="AN33" s="327">
        <f>'CFS (Bull-Case)'!AN33-'CFS (Base-Case)'!AN33</f>
        <v>-31.634048059123984</v>
      </c>
      <c r="AO33" s="327">
        <f>'CFS (Bull-Case)'!AO33-'CFS (Base-Case)'!AO33</f>
        <v>-38.938630045913783</v>
      </c>
      <c r="AP33" s="327">
        <f>'CFS (Bull-Case)'!AP33-'CFS (Base-Case)'!AP33</f>
        <v>-48.570712256511229</v>
      </c>
      <c r="AQ33" s="328">
        <f>'CFS (Bull-Case)'!AQ33-'CFS (Base-Case)'!AQ33</f>
        <v>-150.71429660817967</v>
      </c>
      <c r="AR33" s="327">
        <f>'CFS (Bull-Case)'!AR33-'CFS (Base-Case)'!AR33</f>
        <v>-48.667853681024212</v>
      </c>
      <c r="AS33" s="327">
        <f>'CFS (Bull-Case)'!AS33-'CFS (Base-Case)'!AS33</f>
        <v>-48.765189388386261</v>
      </c>
      <c r="AT33" s="327">
        <f>'CFS (Bull-Case)'!AT33-'CFS (Base-Case)'!AT33</f>
        <v>-48.862719767163071</v>
      </c>
      <c r="AU33" s="327">
        <f>'CFS (Bull-Case)'!AU33-'CFS (Base-Case)'!AU33</f>
        <v>-49.93965411083127</v>
      </c>
      <c r="AV33" s="328">
        <f>'CFS (Bull-Case)'!AV33-'CFS (Base-Case)'!AV33</f>
        <v>-196.23541694740516</v>
      </c>
    </row>
    <row r="34" spans="2:48" outlineLevel="1" x14ac:dyDescent="0.3">
      <c r="B34" s="325" t="s">
        <v>292</v>
      </c>
      <c r="C34" s="338"/>
      <c r="D34" s="327">
        <f>'CFS (Bull-Case)'!D34-'CFS (Base-Case)'!D34</f>
        <v>0</v>
      </c>
      <c r="E34" s="327">
        <f>'CFS (Bull-Case)'!E34-'CFS (Base-Case)'!E34</f>
        <v>0</v>
      </c>
      <c r="F34" s="327">
        <f>'CFS (Bull-Case)'!F34-'CFS (Base-Case)'!F34</f>
        <v>0</v>
      </c>
      <c r="G34" s="327">
        <f>'CFS (Bull-Case)'!G34-'CFS (Base-Case)'!G34</f>
        <v>0</v>
      </c>
      <c r="H34" s="328">
        <f>'CFS (Bull-Case)'!H34-'CFS (Base-Case)'!H34</f>
        <v>0</v>
      </c>
      <c r="I34" s="327">
        <f>'CFS (Bull-Case)'!I34-'CFS (Base-Case)'!I34</f>
        <v>0</v>
      </c>
      <c r="J34" s="327">
        <f>'CFS (Bull-Case)'!J34-'CFS (Base-Case)'!J34</f>
        <v>0</v>
      </c>
      <c r="K34" s="327">
        <f>'CFS (Bull-Case)'!K34-'CFS (Base-Case)'!K34</f>
        <v>0</v>
      </c>
      <c r="L34" s="327">
        <f>'CFS (Bull-Case)'!L34-'CFS (Base-Case)'!L34</f>
        <v>0</v>
      </c>
      <c r="M34" s="328">
        <f>'CFS (Bull-Case)'!M34-'CFS (Base-Case)'!M34</f>
        <v>0</v>
      </c>
      <c r="N34" s="327">
        <f>'CFS (Bull-Case)'!N34-'CFS (Base-Case)'!N34</f>
        <v>0</v>
      </c>
      <c r="O34" s="327">
        <f>'CFS (Bull-Case)'!O34-'CFS (Base-Case)'!O34</f>
        <v>0</v>
      </c>
      <c r="P34" s="327">
        <f>'CFS (Bull-Case)'!P34-'CFS (Base-Case)'!P34</f>
        <v>0</v>
      </c>
      <c r="Q34" s="327">
        <f>'CFS (Bull-Case)'!Q34-'CFS (Base-Case)'!Q34</f>
        <v>0</v>
      </c>
      <c r="R34" s="328">
        <f>'CFS (Bull-Case)'!R34-'CFS (Base-Case)'!R34</f>
        <v>0</v>
      </c>
      <c r="S34" s="327">
        <f>'CFS (Bull-Case)'!S34-'CFS (Base-Case)'!S34</f>
        <v>0</v>
      </c>
      <c r="T34" s="327">
        <f>'CFS (Bull-Case)'!T34-'CFS (Base-Case)'!T34</f>
        <v>0</v>
      </c>
      <c r="U34" s="327">
        <f>'CFS (Bull-Case)'!U34-'CFS (Base-Case)'!U34</f>
        <v>0</v>
      </c>
      <c r="V34" s="327">
        <f>'CFS (Bull-Case)'!V34-'CFS (Base-Case)'!V34</f>
        <v>0</v>
      </c>
      <c r="W34" s="328">
        <f>'CFS (Bull-Case)'!W34-'CFS (Base-Case)'!W34</f>
        <v>0</v>
      </c>
      <c r="X34" s="327">
        <f>'CFS (Bull-Case)'!X34-'CFS (Base-Case)'!X34</f>
        <v>0</v>
      </c>
      <c r="Y34" s="327">
        <f>'CFS (Bull-Case)'!Y34-'CFS (Base-Case)'!Y34</f>
        <v>0</v>
      </c>
      <c r="Z34" s="327">
        <f>'CFS (Bull-Case)'!Z34-'CFS (Base-Case)'!Z34</f>
        <v>0</v>
      </c>
      <c r="AA34" s="327">
        <f>'CFS (Bull-Case)'!AA34-'CFS (Base-Case)'!AA34</f>
        <v>0</v>
      </c>
      <c r="AB34" s="328">
        <f>'CFS (Bull-Case)'!AB34-'CFS (Base-Case)'!AB34</f>
        <v>0</v>
      </c>
      <c r="AC34" s="327">
        <f>'CFS (Bull-Case)'!AC34-'CFS (Base-Case)'!AC34</f>
        <v>0</v>
      </c>
      <c r="AD34" s="327">
        <f>'CFS (Bull-Case)'!AD34-'CFS (Base-Case)'!AD34</f>
        <v>0</v>
      </c>
      <c r="AE34" s="327">
        <f>'CFS (Bull-Case)'!AE34-'CFS (Base-Case)'!AE34</f>
        <v>0</v>
      </c>
      <c r="AF34" s="327">
        <f>'CFS (Bull-Case)'!AF34-'CFS (Base-Case)'!AF34</f>
        <v>0</v>
      </c>
      <c r="AG34" s="328">
        <f>'CFS (Bull-Case)'!AG34-'CFS (Base-Case)'!AG34</f>
        <v>0</v>
      </c>
      <c r="AH34" s="327">
        <f>'CFS (Bull-Case)'!AH34-'CFS (Base-Case)'!AH34</f>
        <v>0</v>
      </c>
      <c r="AI34" s="327">
        <f>'CFS (Bull-Case)'!AI34-'CFS (Base-Case)'!AI34</f>
        <v>0</v>
      </c>
      <c r="AJ34" s="327">
        <f>'CFS (Bull-Case)'!AJ34-'CFS (Base-Case)'!AJ34</f>
        <v>1466.3660628610346</v>
      </c>
      <c r="AK34" s="327">
        <f>'CFS (Bull-Case)'!AK34-'CFS (Base-Case)'!AK34</f>
        <v>1466.3660628610346</v>
      </c>
      <c r="AL34" s="328">
        <f>'CFS (Bull-Case)'!AL34-'CFS (Base-Case)'!AL34</f>
        <v>2932.7321257220692</v>
      </c>
      <c r="AM34" s="327">
        <f>'CFS (Bull-Case)'!AM34-'CFS (Base-Case)'!AM34</f>
        <v>0</v>
      </c>
      <c r="AN34" s="327">
        <f>'CFS (Bull-Case)'!AN34-'CFS (Base-Case)'!AN34</f>
        <v>0</v>
      </c>
      <c r="AO34" s="327">
        <f>'CFS (Bull-Case)'!AO34-'CFS (Base-Case)'!AO34</f>
        <v>0</v>
      </c>
      <c r="AP34" s="327">
        <f>'CFS (Bull-Case)'!AP34-'CFS (Base-Case)'!AP34</f>
        <v>0</v>
      </c>
      <c r="AQ34" s="328">
        <f>'CFS (Bull-Case)'!AQ34-'CFS (Base-Case)'!AQ34</f>
        <v>0</v>
      </c>
      <c r="AR34" s="327">
        <f>'CFS (Bull-Case)'!AR34-'CFS (Base-Case)'!AR34</f>
        <v>0</v>
      </c>
      <c r="AS34" s="327">
        <f>'CFS (Bull-Case)'!AS34-'CFS (Base-Case)'!AS34</f>
        <v>0</v>
      </c>
      <c r="AT34" s="327">
        <f>'CFS (Bull-Case)'!AT34-'CFS (Base-Case)'!AT34</f>
        <v>0</v>
      </c>
      <c r="AU34" s="327">
        <f>'CFS (Bull-Case)'!AU34-'CFS (Base-Case)'!AU34</f>
        <v>0</v>
      </c>
      <c r="AV34" s="328">
        <f>'CFS (Bull-Case)'!AV34-'CFS (Base-Case)'!AV34</f>
        <v>0</v>
      </c>
    </row>
    <row r="35" spans="2:48" outlineLevel="1" x14ac:dyDescent="0.3">
      <c r="B35" s="325" t="s">
        <v>293</v>
      </c>
      <c r="C35" s="339"/>
      <c r="D35" s="327">
        <f>'CFS (Bull-Case)'!D35-'CFS (Base-Case)'!D35</f>
        <v>0</v>
      </c>
      <c r="E35" s="327">
        <f>'CFS (Bull-Case)'!E35-'CFS (Base-Case)'!E35</f>
        <v>0</v>
      </c>
      <c r="F35" s="327">
        <f>'CFS (Bull-Case)'!F35-'CFS (Base-Case)'!F35</f>
        <v>0</v>
      </c>
      <c r="G35" s="327">
        <f>'CFS (Bull-Case)'!G35-'CFS (Base-Case)'!G35</f>
        <v>0</v>
      </c>
      <c r="H35" s="328">
        <f>'CFS (Bull-Case)'!H35-'CFS (Base-Case)'!H35</f>
        <v>0</v>
      </c>
      <c r="I35" s="327">
        <f>'CFS (Bull-Case)'!I35-'CFS (Base-Case)'!I35</f>
        <v>0</v>
      </c>
      <c r="J35" s="327">
        <f>'CFS (Bull-Case)'!J35-'CFS (Base-Case)'!J35</f>
        <v>0</v>
      </c>
      <c r="K35" s="327">
        <f>'CFS (Bull-Case)'!K35-'CFS (Base-Case)'!K35</f>
        <v>0</v>
      </c>
      <c r="L35" s="327">
        <f>'CFS (Bull-Case)'!L35-'CFS (Base-Case)'!L35</f>
        <v>0</v>
      </c>
      <c r="M35" s="328">
        <f>'CFS (Bull-Case)'!M35-'CFS (Base-Case)'!M35</f>
        <v>0</v>
      </c>
      <c r="N35" s="327">
        <f>'CFS (Bull-Case)'!N35-'CFS (Base-Case)'!N35</f>
        <v>0</v>
      </c>
      <c r="O35" s="327">
        <f>'CFS (Bull-Case)'!O35-'CFS (Base-Case)'!O35</f>
        <v>0</v>
      </c>
      <c r="P35" s="327">
        <f>'CFS (Bull-Case)'!P35-'CFS (Base-Case)'!P35</f>
        <v>0</v>
      </c>
      <c r="Q35" s="327">
        <f>'CFS (Bull-Case)'!Q35-'CFS (Base-Case)'!Q35</f>
        <v>0</v>
      </c>
      <c r="R35" s="328">
        <f>'CFS (Bull-Case)'!R35-'CFS (Base-Case)'!R35</f>
        <v>0</v>
      </c>
      <c r="S35" s="327">
        <f>'CFS (Bull-Case)'!S35-'CFS (Base-Case)'!S35</f>
        <v>0</v>
      </c>
      <c r="T35" s="327">
        <f>'CFS (Bull-Case)'!T35-'CFS (Base-Case)'!T35</f>
        <v>0</v>
      </c>
      <c r="U35" s="327">
        <f>'CFS (Bull-Case)'!U35-'CFS (Base-Case)'!U35</f>
        <v>0</v>
      </c>
      <c r="V35" s="327">
        <f>'CFS (Bull-Case)'!V35-'CFS (Base-Case)'!V35</f>
        <v>0</v>
      </c>
      <c r="W35" s="328">
        <f>'CFS (Bull-Case)'!W35-'CFS (Base-Case)'!W35</f>
        <v>0</v>
      </c>
      <c r="X35" s="327">
        <f>'CFS (Bull-Case)'!X35-'CFS (Base-Case)'!X35</f>
        <v>-1.8527846571797735E-2</v>
      </c>
      <c r="Y35" s="327">
        <f>'CFS (Bull-Case)'!Y35-'CFS (Base-Case)'!Y35</f>
        <v>-1.5938792599455631E-2</v>
      </c>
      <c r="Z35" s="327">
        <f>'CFS (Bull-Case)'!Z35-'CFS (Base-Case)'!Z35</f>
        <v>-1.8166739203707039E-2</v>
      </c>
      <c r="AA35" s="327">
        <f>'CFS (Bull-Case)'!AA35-'CFS (Base-Case)'!AA35</f>
        <v>-1.8294532671685682E-2</v>
      </c>
      <c r="AB35" s="328">
        <f>'CFS (Bull-Case)'!AB35-'CFS (Base-Case)'!AB35</f>
        <v>-7.0927911046646308E-2</v>
      </c>
      <c r="AC35" s="327">
        <f>'CFS (Bull-Case)'!AC35-'CFS (Base-Case)'!AC35</f>
        <v>-3.8424588576144503E-2</v>
      </c>
      <c r="AD35" s="327">
        <f>'CFS (Bull-Case)'!AD35-'CFS (Base-Case)'!AD35</f>
        <v>-3.608826431146217E-2</v>
      </c>
      <c r="AE35" s="327">
        <f>'CFS (Bull-Case)'!AE35-'CFS (Base-Case)'!AE35</f>
        <v>-4.0046854650314101E-2</v>
      </c>
      <c r="AF35" s="327">
        <f>'CFS (Bull-Case)'!AF35-'CFS (Base-Case)'!AF35</f>
        <v>-3.9373185096343022E-2</v>
      </c>
      <c r="AG35" s="328">
        <f>'CFS (Bull-Case)'!AG35-'CFS (Base-Case)'!AG35</f>
        <v>-0.15393289263426269</v>
      </c>
      <c r="AH35" s="327">
        <f>'CFS (Bull-Case)'!AH35-'CFS (Base-Case)'!AH35</f>
        <v>-6.340877284318891E-2</v>
      </c>
      <c r="AI35" s="327">
        <f>'CFS (Bull-Case)'!AI35-'CFS (Base-Case)'!AI35</f>
        <v>-6.0399049394348481E-2</v>
      </c>
      <c r="AJ35" s="327">
        <f>'CFS (Bull-Case)'!AJ35-'CFS (Base-Case)'!AJ35</f>
        <v>-6.6462489996823582E-2</v>
      </c>
      <c r="AK35" s="327">
        <f>'CFS (Bull-Case)'!AK35-'CFS (Base-Case)'!AK35</f>
        <v>-6.5194426845593068E-2</v>
      </c>
      <c r="AL35" s="328">
        <f>'CFS (Bull-Case)'!AL35-'CFS (Base-Case)'!AL35</f>
        <v>-0.25546473907995271</v>
      </c>
      <c r="AM35" s="327">
        <f>'CFS (Bull-Case)'!AM35-'CFS (Base-Case)'!AM35</f>
        <v>-6.8811690255198066E-2</v>
      </c>
      <c r="AN35" s="327">
        <f>'CFS (Bull-Case)'!AN35-'CFS (Base-Case)'!AN35</f>
        <v>-6.5625772452938325E-2</v>
      </c>
      <c r="AO35" s="327">
        <f>'CFS (Bull-Case)'!AO35-'CFS (Base-Case)'!AO35</f>
        <v>-7.2095559110010754E-2</v>
      </c>
      <c r="AP35" s="327">
        <f>'CFS (Bull-Case)'!AP35-'CFS (Base-Case)'!AP35</f>
        <v>-7.0689032347229563E-2</v>
      </c>
      <c r="AQ35" s="328">
        <f>'CFS (Bull-Case)'!AQ35-'CFS (Base-Case)'!AQ35</f>
        <v>-0.27722205416537804</v>
      </c>
      <c r="AR35" s="327">
        <f>'CFS (Bull-Case)'!AR35-'CFS (Base-Case)'!AR35</f>
        <v>-7.3203321214847961E-2</v>
      </c>
      <c r="AS35" s="327">
        <f>'CFS (Bull-Case)'!AS35-'CFS (Base-Case)'!AS35</f>
        <v>-6.9797341518593736E-2</v>
      </c>
      <c r="AT35" s="327">
        <f>'CFS (Bull-Case)'!AT35-'CFS (Base-Case)'!AT35</f>
        <v>-7.6645941331689116E-2</v>
      </c>
      <c r="AU35" s="327">
        <f>'CFS (Bull-Case)'!AU35-'CFS (Base-Case)'!AU35</f>
        <v>-7.5138577171322662E-2</v>
      </c>
      <c r="AV35" s="328">
        <f>'CFS (Bull-Case)'!AV35-'CFS (Base-Case)'!AV35</f>
        <v>-0.29478518123645436</v>
      </c>
    </row>
    <row r="36" spans="2:48" ht="16.2" outlineLevel="1" x14ac:dyDescent="0.45">
      <c r="B36" s="485" t="s">
        <v>294</v>
      </c>
      <c r="C36" s="486"/>
      <c r="D36" s="329">
        <f>'CFS (Bull-Case)'!D36-'CFS (Base-Case)'!D36</f>
        <v>0</v>
      </c>
      <c r="E36" s="329">
        <f>'CFS (Bull-Case)'!E36-'CFS (Base-Case)'!E36</f>
        <v>0</v>
      </c>
      <c r="F36" s="329">
        <f>'CFS (Bull-Case)'!F36-'CFS (Base-Case)'!F36</f>
        <v>0</v>
      </c>
      <c r="G36" s="329">
        <f>'CFS (Bull-Case)'!G36-'CFS (Base-Case)'!G36</f>
        <v>0</v>
      </c>
      <c r="H36" s="330">
        <f>'CFS (Bull-Case)'!H36-'CFS (Base-Case)'!H36</f>
        <v>0</v>
      </c>
      <c r="I36" s="329">
        <f>'CFS (Bull-Case)'!I36-'CFS (Base-Case)'!I36</f>
        <v>0</v>
      </c>
      <c r="J36" s="329">
        <f>'CFS (Bull-Case)'!J36-'CFS (Base-Case)'!J36</f>
        <v>0</v>
      </c>
      <c r="K36" s="329">
        <f>'CFS (Bull-Case)'!K36-'CFS (Base-Case)'!K36</f>
        <v>0</v>
      </c>
      <c r="L36" s="329">
        <f>'CFS (Bull-Case)'!L36-'CFS (Base-Case)'!L36</f>
        <v>0</v>
      </c>
      <c r="M36" s="330">
        <f>'CFS (Bull-Case)'!M36-'CFS (Base-Case)'!M36</f>
        <v>0</v>
      </c>
      <c r="N36" s="329">
        <f>'CFS (Bull-Case)'!N36-'CFS (Base-Case)'!N36</f>
        <v>0</v>
      </c>
      <c r="O36" s="329">
        <f>'CFS (Bull-Case)'!O36-'CFS (Base-Case)'!O36</f>
        <v>0</v>
      </c>
      <c r="P36" s="329">
        <f>'CFS (Bull-Case)'!P36-'CFS (Base-Case)'!P36</f>
        <v>0</v>
      </c>
      <c r="Q36" s="329">
        <f>'CFS (Bull-Case)'!Q36-'CFS (Base-Case)'!Q36</f>
        <v>0</v>
      </c>
      <c r="R36" s="330">
        <f>'CFS (Bull-Case)'!R36-'CFS (Base-Case)'!R36</f>
        <v>0</v>
      </c>
      <c r="S36" s="329">
        <f>'CFS (Bull-Case)'!S36-'CFS (Base-Case)'!S36</f>
        <v>0</v>
      </c>
      <c r="T36" s="329">
        <f>'CFS (Bull-Case)'!T36-'CFS (Base-Case)'!T36</f>
        <v>0</v>
      </c>
      <c r="U36" s="329">
        <f>'CFS (Bull-Case)'!U36-'CFS (Base-Case)'!U36</f>
        <v>0</v>
      </c>
      <c r="V36" s="329">
        <f>'CFS (Bull-Case)'!V36-'CFS (Base-Case)'!V36</f>
        <v>0</v>
      </c>
      <c r="W36" s="330">
        <f>'CFS (Bull-Case)'!W36-'CFS (Base-Case)'!W36</f>
        <v>0</v>
      </c>
      <c r="X36" s="329">
        <f>'CFS (Bull-Case)'!X36-'CFS (Base-Case)'!X36</f>
        <v>0</v>
      </c>
      <c r="Y36" s="329">
        <f>'CFS (Bull-Case)'!Y36-'CFS (Base-Case)'!Y36</f>
        <v>0</v>
      </c>
      <c r="Z36" s="329">
        <f>'CFS (Bull-Case)'!Z36-'CFS (Base-Case)'!Z36</f>
        <v>0</v>
      </c>
      <c r="AA36" s="329">
        <f>'CFS (Bull-Case)'!AA36-'CFS (Base-Case)'!AA36</f>
        <v>0</v>
      </c>
      <c r="AB36" s="330">
        <f>'CFS (Bull-Case)'!AB36-'CFS (Base-Case)'!AB36</f>
        <v>0</v>
      </c>
      <c r="AC36" s="329">
        <f>'CFS (Bull-Case)'!AC36-'CFS (Base-Case)'!AC36</f>
        <v>0</v>
      </c>
      <c r="AD36" s="329">
        <f>'CFS (Bull-Case)'!AD36-'CFS (Base-Case)'!AD36</f>
        <v>0</v>
      </c>
      <c r="AE36" s="329">
        <f>'CFS (Bull-Case)'!AE36-'CFS (Base-Case)'!AE36</f>
        <v>0</v>
      </c>
      <c r="AF36" s="329">
        <f>'CFS (Bull-Case)'!AF36-'CFS (Base-Case)'!AF36</f>
        <v>0</v>
      </c>
      <c r="AG36" s="330">
        <f>'CFS (Bull-Case)'!AG36-'CFS (Base-Case)'!AG36</f>
        <v>0</v>
      </c>
      <c r="AH36" s="329">
        <f>'CFS (Bull-Case)'!AH36-'CFS (Base-Case)'!AH36</f>
        <v>0</v>
      </c>
      <c r="AI36" s="329">
        <f>'CFS (Bull-Case)'!AI36-'CFS (Base-Case)'!AI36</f>
        <v>0</v>
      </c>
      <c r="AJ36" s="329">
        <f>'CFS (Bull-Case)'!AJ36-'CFS (Base-Case)'!AJ36</f>
        <v>0</v>
      </c>
      <c r="AK36" s="329">
        <f>'CFS (Bull-Case)'!AK36-'CFS (Base-Case)'!AK36</f>
        <v>0</v>
      </c>
      <c r="AL36" s="330">
        <f>'CFS (Bull-Case)'!AL36-'CFS (Base-Case)'!AL36</f>
        <v>0</v>
      </c>
      <c r="AM36" s="329">
        <f>'CFS (Bull-Case)'!AM36-'CFS (Base-Case)'!AM36</f>
        <v>0</v>
      </c>
      <c r="AN36" s="329">
        <f>'CFS (Bull-Case)'!AN36-'CFS (Base-Case)'!AN36</f>
        <v>0</v>
      </c>
      <c r="AO36" s="329">
        <f>'CFS (Bull-Case)'!AO36-'CFS (Base-Case)'!AO36</f>
        <v>0</v>
      </c>
      <c r="AP36" s="329">
        <f>'CFS (Bull-Case)'!AP36-'CFS (Base-Case)'!AP36</f>
        <v>0</v>
      </c>
      <c r="AQ36" s="330">
        <f>'CFS (Bull-Case)'!AQ36-'CFS (Base-Case)'!AQ36</f>
        <v>0</v>
      </c>
      <c r="AR36" s="329">
        <f>'CFS (Bull-Case)'!AR36-'CFS (Base-Case)'!AR36</f>
        <v>0</v>
      </c>
      <c r="AS36" s="329">
        <f>'CFS (Bull-Case)'!AS36-'CFS (Base-Case)'!AS36</f>
        <v>0</v>
      </c>
      <c r="AT36" s="329">
        <f>'CFS (Bull-Case)'!AT36-'CFS (Base-Case)'!AT36</f>
        <v>0</v>
      </c>
      <c r="AU36" s="329">
        <f>'CFS (Bull-Case)'!AU36-'CFS (Base-Case)'!AU36</f>
        <v>0</v>
      </c>
      <c r="AV36" s="330">
        <f>'CFS (Bull-Case)'!AV36-'CFS (Base-Case)'!AV36</f>
        <v>0</v>
      </c>
    </row>
    <row r="37" spans="2:48" outlineLevel="1" x14ac:dyDescent="0.3">
      <c r="B37" s="487" t="s">
        <v>295</v>
      </c>
      <c r="C37" s="488"/>
      <c r="D37" s="331">
        <f>'CFS (Bull-Case)'!D37-'CFS (Base-Case)'!D37</f>
        <v>0</v>
      </c>
      <c r="E37" s="331">
        <f>'CFS (Bull-Case)'!E37-'CFS (Base-Case)'!E37</f>
        <v>0</v>
      </c>
      <c r="F37" s="331">
        <f>'CFS (Bull-Case)'!F37-'CFS (Base-Case)'!F37</f>
        <v>0</v>
      </c>
      <c r="G37" s="331">
        <f>'CFS (Bull-Case)'!G37-'CFS (Base-Case)'!G37</f>
        <v>0</v>
      </c>
      <c r="H37" s="332">
        <f>'CFS (Bull-Case)'!H37-'CFS (Base-Case)'!H37</f>
        <v>0</v>
      </c>
      <c r="I37" s="331">
        <f>'CFS (Bull-Case)'!I37-'CFS (Base-Case)'!I37</f>
        <v>0</v>
      </c>
      <c r="J37" s="331">
        <f>'CFS (Bull-Case)'!J37-'CFS (Base-Case)'!J37</f>
        <v>0</v>
      </c>
      <c r="K37" s="331">
        <f>'CFS (Bull-Case)'!K37-'CFS (Base-Case)'!K37</f>
        <v>0</v>
      </c>
      <c r="L37" s="331">
        <f>'CFS (Bull-Case)'!L37-'CFS (Base-Case)'!L37</f>
        <v>0</v>
      </c>
      <c r="M37" s="332">
        <f>'CFS (Bull-Case)'!M37-'CFS (Base-Case)'!M37</f>
        <v>0</v>
      </c>
      <c r="N37" s="331">
        <f>'CFS (Bull-Case)'!N37-'CFS (Base-Case)'!N37</f>
        <v>0</v>
      </c>
      <c r="O37" s="331">
        <f>'CFS (Bull-Case)'!O37-'CFS (Base-Case)'!O37</f>
        <v>0</v>
      </c>
      <c r="P37" s="331">
        <f>'CFS (Bull-Case)'!P37-'CFS (Base-Case)'!P37</f>
        <v>0</v>
      </c>
      <c r="Q37" s="331">
        <f>'CFS (Bull-Case)'!Q37-'CFS (Base-Case)'!Q37</f>
        <v>0</v>
      </c>
      <c r="R37" s="332">
        <f>'CFS (Bull-Case)'!R37-'CFS (Base-Case)'!R37</f>
        <v>0</v>
      </c>
      <c r="S37" s="331">
        <f>'CFS (Bull-Case)'!S37-'CFS (Base-Case)'!S37</f>
        <v>0</v>
      </c>
      <c r="T37" s="331">
        <f>'CFS (Bull-Case)'!T37-'CFS (Base-Case)'!T37</f>
        <v>0</v>
      </c>
      <c r="U37" s="331">
        <f>'CFS (Bull-Case)'!U37-'CFS (Base-Case)'!U37</f>
        <v>0</v>
      </c>
      <c r="V37" s="331">
        <f>'CFS (Bull-Case)'!V37-'CFS (Base-Case)'!V37</f>
        <v>0</v>
      </c>
      <c r="W37" s="332">
        <f>'CFS (Bull-Case)'!W37-'CFS (Base-Case)'!W37</f>
        <v>0</v>
      </c>
      <c r="X37" s="331">
        <f>'CFS (Bull-Case)'!X37-'CFS (Base-Case)'!X37</f>
        <v>-1.8527846571828377E-2</v>
      </c>
      <c r="Y37" s="331">
        <f>'CFS (Bull-Case)'!Y37-'CFS (Base-Case)'!Y37</f>
        <v>-1.5938792599513363E-2</v>
      </c>
      <c r="Z37" s="331">
        <f>'CFS (Bull-Case)'!Z37-'CFS (Base-Case)'!Z37</f>
        <v>-1.8166739203707039E-2</v>
      </c>
      <c r="AA37" s="331">
        <f>'CFS (Bull-Case)'!AA37-'CFS (Base-Case)'!AA37</f>
        <v>-1.8294532671689012E-2</v>
      </c>
      <c r="AB37" s="332">
        <f>'CFS (Bull-Case)'!AB37-'CFS (Base-Case)'!AB37</f>
        <v>-7.0927911046510417E-2</v>
      </c>
      <c r="AC37" s="331">
        <f>'CFS (Bull-Case)'!AC37-'CFS (Base-Case)'!AC37</f>
        <v>-3.8424588576162932E-2</v>
      </c>
      <c r="AD37" s="331">
        <f>'CFS (Bull-Case)'!AD37-'CFS (Base-Case)'!AD37</f>
        <v>-3.6088264311501916E-2</v>
      </c>
      <c r="AE37" s="331">
        <f>'CFS (Bull-Case)'!AE37-'CFS (Base-Case)'!AE37</f>
        <v>-4.0046854650313435E-2</v>
      </c>
      <c r="AF37" s="331">
        <f>'CFS (Bull-Case)'!AF37-'CFS (Base-Case)'!AF37</f>
        <v>-3.9373185096337693E-2</v>
      </c>
      <c r="AG37" s="332">
        <f>'CFS (Bull-Case)'!AG37-'CFS (Base-Case)'!AG37</f>
        <v>-0.15393289263420229</v>
      </c>
      <c r="AH37" s="331">
        <f>'CFS (Bull-Case)'!AH37-'CFS (Base-Case)'!AH37</f>
        <v>-6.3408772843217776E-2</v>
      </c>
      <c r="AI37" s="331">
        <f>'CFS (Bull-Case)'!AI37-'CFS (Base-Case)'!AI37</f>
        <v>-6.0399049394277426E-2</v>
      </c>
      <c r="AJ37" s="331">
        <f>'CFS (Bull-Case)'!AJ37-'CFS (Base-Case)'!AJ37</f>
        <v>-7.2484772441384848E-2</v>
      </c>
      <c r="AK37" s="331">
        <f>'CFS (Bull-Case)'!AK37-'CFS (Base-Case)'!AK37</f>
        <v>1434.79297796849</v>
      </c>
      <c r="AL37" s="332">
        <f>'CFS (Bull-Case)'!AL37-'CFS (Base-Case)'!AL37</f>
        <v>1434.5966853738109</v>
      </c>
      <c r="AM37" s="331">
        <f>'CFS (Bull-Case)'!AM37-'CFS (Base-Case)'!AM37</f>
        <v>-31.639717936885972</v>
      </c>
      <c r="AN37" s="331">
        <f>'CFS (Bull-Case)'!AN37-'CFS (Base-Case)'!AN37</f>
        <v>-31.699673831576888</v>
      </c>
      <c r="AO37" s="331">
        <f>'CFS (Bull-Case)'!AO37-'CFS (Base-Case)'!AO37</f>
        <v>-39.010725605023822</v>
      </c>
      <c r="AP37" s="331">
        <f>'CFS (Bull-Case)'!AP37-'CFS (Base-Case)'!AP37</f>
        <v>-48.641401288858447</v>
      </c>
      <c r="AQ37" s="332">
        <f>'CFS (Bull-Case)'!AQ37-'CFS (Base-Case)'!AQ37</f>
        <v>-150.99151866234524</v>
      </c>
      <c r="AR37" s="331">
        <f>'CFS (Bull-Case)'!AR37-'CFS (Base-Case)'!AR37</f>
        <v>-48.741057002239131</v>
      </c>
      <c r="AS37" s="331">
        <f>'CFS (Bull-Case)'!AS37-'CFS (Base-Case)'!AS37</f>
        <v>-48.834986729904927</v>
      </c>
      <c r="AT37" s="331">
        <f>'CFS (Bull-Case)'!AT37-'CFS (Base-Case)'!AT37</f>
        <v>-48.939365708494734</v>
      </c>
      <c r="AU37" s="331">
        <f>'CFS (Bull-Case)'!AU37-'CFS (Base-Case)'!AU37</f>
        <v>-50.014792688002558</v>
      </c>
      <c r="AV37" s="332">
        <f>'CFS (Bull-Case)'!AV37-'CFS (Base-Case)'!AV37</f>
        <v>-196.53020212864158</v>
      </c>
    </row>
    <row r="38" spans="2:48" outlineLevel="1" x14ac:dyDescent="0.3">
      <c r="B38" s="248" t="s">
        <v>296</v>
      </c>
      <c r="C38" s="249"/>
      <c r="D38" s="333">
        <f>'CFS (Bull-Case)'!D38-'CFS (Base-Case)'!D38</f>
        <v>0</v>
      </c>
      <c r="E38" s="340">
        <f>'CFS (Bull-Case)'!E38-'CFS (Base-Case)'!E38</f>
        <v>0</v>
      </c>
      <c r="F38" s="340">
        <f>'CFS (Bull-Case)'!F38-'CFS (Base-Case)'!F38</f>
        <v>0</v>
      </c>
      <c r="G38" s="340">
        <f>'CFS (Bull-Case)'!G38-'CFS (Base-Case)'!G38</f>
        <v>0</v>
      </c>
      <c r="H38" s="337">
        <f>'CFS (Bull-Case)'!H38-'CFS (Base-Case)'!H38</f>
        <v>0</v>
      </c>
      <c r="I38" s="340">
        <f>'CFS (Bull-Case)'!I38-'CFS (Base-Case)'!I38</f>
        <v>0</v>
      </c>
      <c r="J38" s="340">
        <f>'CFS (Bull-Case)'!J38-'CFS (Base-Case)'!J38</f>
        <v>0</v>
      </c>
      <c r="K38" s="340">
        <f>'CFS (Bull-Case)'!K38-'CFS (Base-Case)'!K38</f>
        <v>0</v>
      </c>
      <c r="L38" s="340">
        <f>'CFS (Bull-Case)'!L38-'CFS (Base-Case)'!L38</f>
        <v>0</v>
      </c>
      <c r="M38" s="337">
        <f>'CFS (Bull-Case)'!M38-'CFS (Base-Case)'!M38</f>
        <v>0</v>
      </c>
      <c r="N38" s="340">
        <f>'CFS (Bull-Case)'!N38-'CFS (Base-Case)'!N38</f>
        <v>0</v>
      </c>
      <c r="O38" s="340">
        <f>'CFS (Bull-Case)'!O38-'CFS (Base-Case)'!O38</f>
        <v>0</v>
      </c>
      <c r="P38" s="340">
        <f>'CFS (Bull-Case)'!P38-'CFS (Base-Case)'!P38</f>
        <v>0</v>
      </c>
      <c r="Q38" s="340">
        <f>'CFS (Bull-Case)'!Q38-'CFS (Base-Case)'!Q38</f>
        <v>0</v>
      </c>
      <c r="R38" s="337">
        <f>'CFS (Bull-Case)'!R38-'CFS (Base-Case)'!R38</f>
        <v>0</v>
      </c>
      <c r="S38" s="340">
        <f>'CFS (Bull-Case)'!S38-'CFS (Base-Case)'!S38</f>
        <v>0</v>
      </c>
      <c r="T38" s="340">
        <f>'CFS (Bull-Case)'!T38-'CFS (Base-Case)'!T38</f>
        <v>0</v>
      </c>
      <c r="U38" s="340">
        <f>'CFS (Bull-Case)'!U38-'CFS (Base-Case)'!U38</f>
        <v>0</v>
      </c>
      <c r="V38" s="341">
        <f>'CFS (Bull-Case)'!V38-'CFS (Base-Case)'!V38</f>
        <v>0</v>
      </c>
      <c r="W38" s="337">
        <f>'CFS (Bull-Case)'!W38-'CFS (Base-Case)'!W38</f>
        <v>0</v>
      </c>
      <c r="X38" s="341">
        <f>'CFS (Bull-Case)'!X38-'CFS (Base-Case)'!X38</f>
        <v>0</v>
      </c>
      <c r="Y38" s="341">
        <f>'CFS (Bull-Case)'!Y38-'CFS (Base-Case)'!Y38</f>
        <v>0</v>
      </c>
      <c r="Z38" s="341">
        <f>'CFS (Bull-Case)'!Z38-'CFS (Base-Case)'!Z38</f>
        <v>0</v>
      </c>
      <c r="AA38" s="341">
        <f>'CFS (Bull-Case)'!AA38-'CFS (Base-Case)'!AA38</f>
        <v>0</v>
      </c>
      <c r="AB38" s="337">
        <f>'CFS (Bull-Case)'!AB38-'CFS (Base-Case)'!AB38</f>
        <v>0</v>
      </c>
      <c r="AC38" s="341">
        <f>'CFS (Bull-Case)'!AC38-'CFS (Base-Case)'!AC38</f>
        <v>0</v>
      </c>
      <c r="AD38" s="341">
        <f>'CFS (Bull-Case)'!AD38-'CFS (Base-Case)'!AD38</f>
        <v>0</v>
      </c>
      <c r="AE38" s="341">
        <f>'CFS (Bull-Case)'!AE38-'CFS (Base-Case)'!AE38</f>
        <v>0</v>
      </c>
      <c r="AF38" s="341">
        <f>'CFS (Bull-Case)'!AF38-'CFS (Base-Case)'!AF38</f>
        <v>0</v>
      </c>
      <c r="AG38" s="337">
        <f>'CFS (Bull-Case)'!AG38-'CFS (Base-Case)'!AG38</f>
        <v>0</v>
      </c>
      <c r="AH38" s="341">
        <f>'CFS (Bull-Case)'!AH38-'CFS (Base-Case)'!AH38</f>
        <v>0</v>
      </c>
      <c r="AI38" s="341">
        <f>'CFS (Bull-Case)'!AI38-'CFS (Base-Case)'!AI38</f>
        <v>0</v>
      </c>
      <c r="AJ38" s="341">
        <f>'CFS (Bull-Case)'!AJ38-'CFS (Base-Case)'!AJ38</f>
        <v>0</v>
      </c>
      <c r="AK38" s="341">
        <f>'CFS (Bull-Case)'!AK38-'CFS (Base-Case)'!AK38</f>
        <v>0</v>
      </c>
      <c r="AL38" s="337">
        <f>'CFS (Bull-Case)'!AL38-'CFS (Base-Case)'!AL38</f>
        <v>0</v>
      </c>
      <c r="AM38" s="341">
        <f>'CFS (Bull-Case)'!AM38-'CFS (Base-Case)'!AM38</f>
        <v>0</v>
      </c>
      <c r="AN38" s="341">
        <f>'CFS (Bull-Case)'!AN38-'CFS (Base-Case)'!AN38</f>
        <v>0</v>
      </c>
      <c r="AO38" s="341">
        <f>'CFS (Bull-Case)'!AO38-'CFS (Base-Case)'!AO38</f>
        <v>0</v>
      </c>
      <c r="AP38" s="341">
        <f>'CFS (Bull-Case)'!AP38-'CFS (Base-Case)'!AP38</f>
        <v>0</v>
      </c>
      <c r="AQ38" s="337">
        <f>'CFS (Bull-Case)'!AQ38-'CFS (Base-Case)'!AQ38</f>
        <v>0</v>
      </c>
      <c r="AR38" s="341">
        <f>'CFS (Bull-Case)'!AR38-'CFS (Base-Case)'!AR38</f>
        <v>0</v>
      </c>
      <c r="AS38" s="341">
        <f>'CFS (Bull-Case)'!AS38-'CFS (Base-Case)'!AS38</f>
        <v>0</v>
      </c>
      <c r="AT38" s="341">
        <f>'CFS (Bull-Case)'!AT38-'CFS (Base-Case)'!AT38</f>
        <v>0</v>
      </c>
      <c r="AU38" s="341">
        <f>'CFS (Bull-Case)'!AU38-'CFS (Base-Case)'!AU38</f>
        <v>0</v>
      </c>
      <c r="AV38" s="337">
        <f>'CFS (Bull-Case)'!AV38-'CFS (Base-Case)'!AV38</f>
        <v>0</v>
      </c>
    </row>
    <row r="39" spans="2:48" ht="16.2" outlineLevel="1" x14ac:dyDescent="0.45">
      <c r="B39" s="435" t="s">
        <v>297</v>
      </c>
      <c r="C39" s="436"/>
      <c r="D39" s="260">
        <f>'CFS (Bull-Case)'!D39-'CFS (Base-Case)'!D39</f>
        <v>0</v>
      </c>
      <c r="E39" s="260">
        <f>'CFS (Bull-Case)'!E39-'CFS (Base-Case)'!E39</f>
        <v>0</v>
      </c>
      <c r="F39" s="260">
        <f>'CFS (Bull-Case)'!F39-'CFS (Base-Case)'!F39</f>
        <v>0</v>
      </c>
      <c r="G39" s="260">
        <f>'CFS (Bull-Case)'!G39-'CFS (Base-Case)'!G39</f>
        <v>0</v>
      </c>
      <c r="H39" s="261">
        <f>'CFS (Bull-Case)'!H39-'CFS (Base-Case)'!H39</f>
        <v>0</v>
      </c>
      <c r="I39" s="260">
        <f>'CFS (Bull-Case)'!I39-'CFS (Base-Case)'!I39</f>
        <v>0</v>
      </c>
      <c r="J39" s="260">
        <f>'CFS (Bull-Case)'!J39-'CFS (Base-Case)'!J39</f>
        <v>0</v>
      </c>
      <c r="K39" s="260">
        <f>'CFS (Bull-Case)'!K39-'CFS (Base-Case)'!K39</f>
        <v>0</v>
      </c>
      <c r="L39" s="260">
        <f>'CFS (Bull-Case)'!L39-'CFS (Base-Case)'!L39</f>
        <v>0</v>
      </c>
      <c r="M39" s="261">
        <f>'CFS (Bull-Case)'!M39-'CFS (Base-Case)'!M39</f>
        <v>0</v>
      </c>
      <c r="N39" s="260">
        <f>'CFS (Bull-Case)'!N39-'CFS (Base-Case)'!N39</f>
        <v>0</v>
      </c>
      <c r="O39" s="260">
        <f>'CFS (Bull-Case)'!O39-'CFS (Base-Case)'!O39</f>
        <v>0</v>
      </c>
      <c r="P39" s="260">
        <f>'CFS (Bull-Case)'!P39-'CFS (Base-Case)'!P39</f>
        <v>0</v>
      </c>
      <c r="Q39" s="260">
        <f>'CFS (Bull-Case)'!Q39-'CFS (Base-Case)'!Q39</f>
        <v>0</v>
      </c>
      <c r="R39" s="261">
        <f>'CFS (Bull-Case)'!R39-'CFS (Base-Case)'!R39</f>
        <v>0</v>
      </c>
      <c r="S39" s="260">
        <f>'CFS (Bull-Case)'!S39-'CFS (Base-Case)'!S39</f>
        <v>0</v>
      </c>
      <c r="T39" s="260">
        <f>'CFS (Bull-Case)'!T39-'CFS (Base-Case)'!T39</f>
        <v>0</v>
      </c>
      <c r="U39" s="260">
        <f>'CFS (Bull-Case)'!U39-'CFS (Base-Case)'!U39</f>
        <v>0</v>
      </c>
      <c r="V39" s="260">
        <f>'CFS (Bull-Case)'!V39-'CFS (Base-Case)'!V39</f>
        <v>0</v>
      </c>
      <c r="W39" s="261">
        <f>'CFS (Bull-Case)'!W39-'CFS (Base-Case)'!W39</f>
        <v>0</v>
      </c>
      <c r="X39" s="260">
        <f>'CFS (Bull-Case)'!X39-'CFS (Base-Case)'!X39</f>
        <v>-2.0607924130156334</v>
      </c>
      <c r="Y39" s="260">
        <f>'CFS (Bull-Case)'!Y39-'CFS (Base-Case)'!Y39</f>
        <v>10.872238163967609</v>
      </c>
      <c r="Z39" s="260">
        <f>'CFS (Bull-Case)'!Z39-'CFS (Base-Case)'!Z39</f>
        <v>13.042777144272804</v>
      </c>
      <c r="AA39" s="260">
        <f>'CFS (Bull-Case)'!AA39-'CFS (Base-Case)'!AA39</f>
        <v>21.71518799489877</v>
      </c>
      <c r="AB39" s="261">
        <f>'CFS (Bull-Case)'!AB39-'CFS (Base-Case)'!AB39</f>
        <v>43.569410890123436</v>
      </c>
      <c r="AC39" s="260">
        <f>'CFS (Bull-Case)'!AC39-'CFS (Base-Case)'!AC39</f>
        <v>27.504070735536516</v>
      </c>
      <c r="AD39" s="260">
        <f>'CFS (Bull-Case)'!AD39-'CFS (Base-Case)'!AD39</f>
        <v>35.193978104520625</v>
      </c>
      <c r="AE39" s="260">
        <f>'CFS (Bull-Case)'!AE39-'CFS (Base-Case)'!AE39</f>
        <v>44.373908756874016</v>
      </c>
      <c r="AF39" s="260">
        <f>'CFS (Bull-Case)'!AF39-'CFS (Base-Case)'!AF39</f>
        <v>50.909039817336406</v>
      </c>
      <c r="AG39" s="261">
        <f>'CFS (Bull-Case)'!AG39-'CFS (Base-Case)'!AG39</f>
        <v>157.98099741426904</v>
      </c>
      <c r="AH39" s="260">
        <f>'CFS (Bull-Case)'!AH39-'CFS (Base-Case)'!AH39</f>
        <v>60.723873225283114</v>
      </c>
      <c r="AI39" s="260">
        <f>'CFS (Bull-Case)'!AI39-'CFS (Base-Case)'!AI39</f>
        <v>64.40277605288361</v>
      </c>
      <c r="AJ39" s="260">
        <f>'CFS (Bull-Case)'!AJ39-'CFS (Base-Case)'!AJ39</f>
        <v>78.482796001286715</v>
      </c>
      <c r="AK39" s="260">
        <f>'CFS (Bull-Case)'!AK39-'CFS (Base-Case)'!AK39</f>
        <v>1486.3774735933284</v>
      </c>
      <c r="AL39" s="261">
        <f>'CFS (Bull-Case)'!AL39-'CFS (Base-Case)'!AL39</f>
        <v>1689.9869188727807</v>
      </c>
      <c r="AM39" s="260">
        <f>'CFS (Bull-Case)'!AM39-'CFS (Base-Case)'!AM39</f>
        <v>76.399109665587503</v>
      </c>
      <c r="AN39" s="260">
        <f>'CFS (Bull-Case)'!AN39-'CFS (Base-Case)'!AN39</f>
        <v>60.031713760354478</v>
      </c>
      <c r="AO39" s="260">
        <f>'CFS (Bull-Case)'!AO39-'CFS (Base-Case)'!AO39</f>
        <v>67.892837602536702</v>
      </c>
      <c r="AP39" s="260">
        <f>'CFS (Bull-Case)'!AP39-'CFS (Base-Case)'!AP39</f>
        <v>74.975237015474931</v>
      </c>
      <c r="AQ39" s="261">
        <f>'CFS (Bull-Case)'!AQ39-'CFS (Base-Case)'!AQ39</f>
        <v>279.29889804395316</v>
      </c>
      <c r="AR39" s="260">
        <f>'CFS (Bull-Case)'!AR39-'CFS (Base-Case)'!AR39</f>
        <v>67.89715579685253</v>
      </c>
      <c r="AS39" s="260">
        <f>'CFS (Bull-Case)'!AS39-'CFS (Base-Case)'!AS39</f>
        <v>49.769257833321717</v>
      </c>
      <c r="AT39" s="260">
        <f>'CFS (Bull-Case)'!AT39-'CFS (Base-Case)'!AT39</f>
        <v>66.22806488425681</v>
      </c>
      <c r="AU39" s="260">
        <f>'CFS (Bull-Case)'!AU39-'CFS (Base-Case)'!AU39</f>
        <v>80.286742723558973</v>
      </c>
      <c r="AV39" s="261">
        <f>'CFS (Bull-Case)'!AV39-'CFS (Base-Case)'!AV39</f>
        <v>264.18122123798912</v>
      </c>
    </row>
    <row r="40" spans="2:48" ht="16.2" outlineLevel="1" x14ac:dyDescent="0.45">
      <c r="B40" s="435" t="s">
        <v>298</v>
      </c>
      <c r="C40" s="436"/>
      <c r="D40" s="260">
        <f>'CFS (Bull-Case)'!D40-'CFS (Base-Case)'!D40</f>
        <v>0</v>
      </c>
      <c r="E40" s="260">
        <f>'CFS (Bull-Case)'!E40-'CFS (Base-Case)'!E40</f>
        <v>0</v>
      </c>
      <c r="F40" s="260">
        <f>'CFS (Bull-Case)'!F40-'CFS (Base-Case)'!F40</f>
        <v>0</v>
      </c>
      <c r="G40" s="260">
        <f>'CFS (Bull-Case)'!G40-'CFS (Base-Case)'!G40</f>
        <v>0</v>
      </c>
      <c r="H40" s="261">
        <f>'CFS (Bull-Case)'!H40-'CFS (Base-Case)'!H40</f>
        <v>0</v>
      </c>
      <c r="I40" s="112">
        <f>'CFS (Bull-Case)'!I40-'CFS (Base-Case)'!I40</f>
        <v>0</v>
      </c>
      <c r="J40" s="260">
        <f>'CFS (Bull-Case)'!J40-'CFS (Base-Case)'!J40</f>
        <v>0</v>
      </c>
      <c r="K40" s="260">
        <f>'CFS (Bull-Case)'!K40-'CFS (Base-Case)'!K40</f>
        <v>0</v>
      </c>
      <c r="L40" s="260">
        <f>'CFS (Bull-Case)'!L40-'CFS (Base-Case)'!L40</f>
        <v>0</v>
      </c>
      <c r="M40" s="261">
        <f>'CFS (Bull-Case)'!M40-'CFS (Base-Case)'!M40</f>
        <v>0</v>
      </c>
      <c r="N40" s="260">
        <f>'CFS (Bull-Case)'!N40-'CFS (Base-Case)'!N40</f>
        <v>0</v>
      </c>
      <c r="O40" s="260">
        <f>'CFS (Bull-Case)'!O40-'CFS (Base-Case)'!O40</f>
        <v>0</v>
      </c>
      <c r="P40" s="260">
        <f>'CFS (Bull-Case)'!P40-'CFS (Base-Case)'!P40</f>
        <v>0</v>
      </c>
      <c r="Q40" s="260">
        <f>'CFS (Bull-Case)'!Q40-'CFS (Base-Case)'!Q40</f>
        <v>0</v>
      </c>
      <c r="R40" s="261">
        <f>'CFS (Bull-Case)'!R40-'CFS (Base-Case)'!R40</f>
        <v>0</v>
      </c>
      <c r="S40" s="260">
        <f>'CFS (Bull-Case)'!S40-'CFS (Base-Case)'!S40</f>
        <v>0</v>
      </c>
      <c r="T40" s="260">
        <f>'CFS (Bull-Case)'!T40-'CFS (Base-Case)'!T40</f>
        <v>0</v>
      </c>
      <c r="U40" s="260">
        <f>'CFS (Bull-Case)'!U40-'CFS (Base-Case)'!U40</f>
        <v>0</v>
      </c>
      <c r="V40" s="260">
        <f>'CFS (Bull-Case)'!V40-'CFS (Base-Case)'!V40</f>
        <v>0</v>
      </c>
      <c r="W40" s="261">
        <f>'CFS (Bull-Case)'!W40-'CFS (Base-Case)'!W40</f>
        <v>0</v>
      </c>
      <c r="X40" s="260">
        <f>'CFS (Bull-Case)'!X40-'CFS (Base-Case)'!X40</f>
        <v>0</v>
      </c>
      <c r="Y40" s="260">
        <f>'CFS (Bull-Case)'!Y40-'CFS (Base-Case)'!Y40</f>
        <v>-2.0607924130154061</v>
      </c>
      <c r="Z40" s="260">
        <f>'CFS (Bull-Case)'!Z40-'CFS (Base-Case)'!Z40</f>
        <v>8.8114457509518616</v>
      </c>
      <c r="AA40" s="260">
        <f>'CFS (Bull-Case)'!AA40-'CFS (Base-Case)'!AA40</f>
        <v>21.854222895224666</v>
      </c>
      <c r="AB40" s="261">
        <f>'CFS (Bull-Case)'!AB40-'CFS (Base-Case)'!AB40</f>
        <v>0</v>
      </c>
      <c r="AC40" s="260">
        <f>'CFS (Bull-Case)'!AC40-'CFS (Base-Case)'!AC40</f>
        <v>43.569410890123436</v>
      </c>
      <c r="AD40" s="260">
        <f>'CFS (Bull-Case)'!AD40-'CFS (Base-Case)'!AD40</f>
        <v>71.073481625659952</v>
      </c>
      <c r="AE40" s="260">
        <f>'CFS (Bull-Case)'!AE40-'CFS (Base-Case)'!AE40</f>
        <v>106.26745973018069</v>
      </c>
      <c r="AF40" s="260">
        <f>'CFS (Bull-Case)'!AF40-'CFS (Base-Case)'!AF40</f>
        <v>150.64136848705493</v>
      </c>
      <c r="AG40" s="261">
        <f>'CFS (Bull-Case)'!AG40-'CFS (Base-Case)'!AG40</f>
        <v>43.569410890123436</v>
      </c>
      <c r="AH40" s="260">
        <f>'CFS (Bull-Case)'!AH40-'CFS (Base-Case)'!AH40</f>
        <v>201.55040830439248</v>
      </c>
      <c r="AI40" s="260">
        <f>'CFS (Bull-Case)'!AI40-'CFS (Base-Case)'!AI40</f>
        <v>262.27428152967514</v>
      </c>
      <c r="AJ40" s="260">
        <f>'CFS (Bull-Case)'!AJ40-'CFS (Base-Case)'!AJ40</f>
        <v>326.67705758255852</v>
      </c>
      <c r="AK40" s="260">
        <f>'CFS (Bull-Case)'!AK40-'CFS (Base-Case)'!AK40</f>
        <v>405.15985358384569</v>
      </c>
      <c r="AL40" s="261">
        <f>'CFS (Bull-Case)'!AL40-'CFS (Base-Case)'!AL40</f>
        <v>201.55040830439248</v>
      </c>
      <c r="AM40" s="260">
        <f>'CFS (Bull-Case)'!AM40-'CFS (Base-Case)'!AM40</f>
        <v>1891.5373271771732</v>
      </c>
      <c r="AN40" s="260">
        <f>'CFS (Bull-Case)'!AN40-'CFS (Base-Case)'!AN40</f>
        <v>1967.9364368427605</v>
      </c>
      <c r="AO40" s="260">
        <f>'CFS (Bull-Case)'!AO40-'CFS (Base-Case)'!AO40</f>
        <v>2027.968150603115</v>
      </c>
      <c r="AP40" s="260">
        <f>'CFS (Bull-Case)'!AP40-'CFS (Base-Case)'!AP40</f>
        <v>2095.8609882056517</v>
      </c>
      <c r="AQ40" s="261">
        <f>'CFS (Bull-Case)'!AQ40-'CFS (Base-Case)'!AQ40</f>
        <v>1891.5373271771732</v>
      </c>
      <c r="AR40" s="260">
        <f>'CFS (Bull-Case)'!AR40-'CFS (Base-Case)'!AR40</f>
        <v>2170.8362252211264</v>
      </c>
      <c r="AS40" s="260">
        <f>'CFS (Bull-Case)'!AS40-'CFS (Base-Case)'!AS40</f>
        <v>2238.7333810179794</v>
      </c>
      <c r="AT40" s="260">
        <f>'CFS (Bull-Case)'!AT40-'CFS (Base-Case)'!AT40</f>
        <v>2288.5026388513006</v>
      </c>
      <c r="AU40" s="260">
        <f>'CFS (Bull-Case)'!AU40-'CFS (Base-Case)'!AU40</f>
        <v>2354.7307037355577</v>
      </c>
      <c r="AV40" s="261">
        <f>'CFS (Bull-Case)'!AV40-'CFS (Base-Case)'!AV40</f>
        <v>2170.8362252211264</v>
      </c>
    </row>
    <row r="41" spans="2:48" outlineLevel="1" x14ac:dyDescent="0.3">
      <c r="B41" s="476" t="s">
        <v>299</v>
      </c>
      <c r="C41" s="477"/>
      <c r="D41" s="116">
        <f>'CFS (Bull-Case)'!D41-'CFS (Base-Case)'!D41</f>
        <v>0</v>
      </c>
      <c r="E41" s="116">
        <f>'CFS (Bull-Case)'!E41-'CFS (Base-Case)'!E41</f>
        <v>0</v>
      </c>
      <c r="F41" s="116">
        <f>'CFS (Bull-Case)'!F41-'CFS (Base-Case)'!F41</f>
        <v>0</v>
      </c>
      <c r="G41" s="116">
        <f>'CFS (Bull-Case)'!G41-'CFS (Base-Case)'!G41</f>
        <v>0</v>
      </c>
      <c r="H41" s="150">
        <f>'CFS (Bull-Case)'!H41-'CFS (Base-Case)'!H41</f>
        <v>0</v>
      </c>
      <c r="I41" s="116">
        <f>'CFS (Bull-Case)'!I41-'CFS (Base-Case)'!I41</f>
        <v>0</v>
      </c>
      <c r="J41" s="116">
        <f>'CFS (Bull-Case)'!J41-'CFS (Base-Case)'!J41</f>
        <v>0</v>
      </c>
      <c r="K41" s="116">
        <f>'CFS (Bull-Case)'!K41-'CFS (Base-Case)'!K41</f>
        <v>0</v>
      </c>
      <c r="L41" s="21">
        <f>'CFS (Bull-Case)'!L41-'CFS (Base-Case)'!L41</f>
        <v>0</v>
      </c>
      <c r="M41" s="22">
        <f>'CFS (Bull-Case)'!M41-'CFS (Base-Case)'!M41</f>
        <v>0</v>
      </c>
      <c r="N41" s="21">
        <f>'CFS (Bull-Case)'!N41-'CFS (Base-Case)'!N41</f>
        <v>0</v>
      </c>
      <c r="O41" s="21">
        <f>'CFS (Bull-Case)'!O41-'CFS (Base-Case)'!O41</f>
        <v>0</v>
      </c>
      <c r="P41" s="21">
        <f>'CFS (Bull-Case)'!P41-'CFS (Base-Case)'!P41</f>
        <v>0</v>
      </c>
      <c r="Q41" s="21">
        <f>'CFS (Bull-Case)'!Q41-'CFS (Base-Case)'!Q41</f>
        <v>0</v>
      </c>
      <c r="R41" s="22">
        <f>'CFS (Bull-Case)'!R41-'CFS (Base-Case)'!R41</f>
        <v>0</v>
      </c>
      <c r="S41" s="21">
        <f>'CFS (Bull-Case)'!S41-'CFS (Base-Case)'!S41</f>
        <v>0</v>
      </c>
      <c r="T41" s="21">
        <f>'CFS (Bull-Case)'!T41-'CFS (Base-Case)'!T41</f>
        <v>0</v>
      </c>
      <c r="U41" s="21">
        <f>'CFS (Bull-Case)'!U41-'CFS (Base-Case)'!U41</f>
        <v>0</v>
      </c>
      <c r="V41" s="21">
        <f>'CFS (Bull-Case)'!V41-'CFS (Base-Case)'!V41</f>
        <v>0</v>
      </c>
      <c r="W41" s="22">
        <f>'CFS (Bull-Case)'!W41-'CFS (Base-Case)'!W41</f>
        <v>0</v>
      </c>
      <c r="X41" s="21">
        <f>'CFS (Bull-Case)'!X41-'CFS (Base-Case)'!X41</f>
        <v>-2.0607924130154061</v>
      </c>
      <c r="Y41" s="21">
        <f>'CFS (Bull-Case)'!Y41-'CFS (Base-Case)'!Y41</f>
        <v>8.8114457509518616</v>
      </c>
      <c r="Z41" s="21">
        <f>'CFS (Bull-Case)'!Z41-'CFS (Base-Case)'!Z41</f>
        <v>21.854222895224666</v>
      </c>
      <c r="AA41" s="21">
        <f>'CFS (Bull-Case)'!AA41-'CFS (Base-Case)'!AA41</f>
        <v>43.569410890123436</v>
      </c>
      <c r="AB41" s="22">
        <f>'CFS (Bull-Case)'!AB41-'CFS (Base-Case)'!AB41</f>
        <v>43.569410890123436</v>
      </c>
      <c r="AC41" s="21">
        <f>'CFS (Bull-Case)'!AC41-'CFS (Base-Case)'!AC41</f>
        <v>71.073481625659952</v>
      </c>
      <c r="AD41" s="21">
        <f>'CFS (Bull-Case)'!AD41-'CFS (Base-Case)'!AD41</f>
        <v>106.26745973018069</v>
      </c>
      <c r="AE41" s="21">
        <f>'CFS (Bull-Case)'!AE41-'CFS (Base-Case)'!AE41</f>
        <v>150.64136848705493</v>
      </c>
      <c r="AF41" s="21">
        <f>'CFS (Bull-Case)'!AF41-'CFS (Base-Case)'!AF41</f>
        <v>201.55040830439157</v>
      </c>
      <c r="AG41" s="22">
        <f>'CFS (Bull-Case)'!AG41-'CFS (Base-Case)'!AG41</f>
        <v>201.55040830439248</v>
      </c>
      <c r="AH41" s="21">
        <f>'CFS (Bull-Case)'!AH41-'CFS (Base-Case)'!AH41</f>
        <v>262.27428152967514</v>
      </c>
      <c r="AI41" s="21">
        <f>'CFS (Bull-Case)'!AI41-'CFS (Base-Case)'!AI41</f>
        <v>326.67705758255852</v>
      </c>
      <c r="AJ41" s="21">
        <f>'CFS (Bull-Case)'!AJ41-'CFS (Base-Case)'!AJ41</f>
        <v>405.15985358384569</v>
      </c>
      <c r="AK41" s="21">
        <f>'CFS (Bull-Case)'!AK41-'CFS (Base-Case)'!AK41</f>
        <v>1891.5373271771741</v>
      </c>
      <c r="AL41" s="22">
        <f>'CFS (Bull-Case)'!AL41-'CFS (Base-Case)'!AL41</f>
        <v>1891.5373271771732</v>
      </c>
      <c r="AM41" s="21">
        <f>'CFS (Bull-Case)'!AM41-'CFS (Base-Case)'!AM41</f>
        <v>1967.9364368427605</v>
      </c>
      <c r="AN41" s="21">
        <f>'CFS (Bull-Case)'!AN41-'CFS (Base-Case)'!AN41</f>
        <v>2027.968150603115</v>
      </c>
      <c r="AO41" s="21">
        <f>'CFS (Bull-Case)'!AO41-'CFS (Base-Case)'!AO41</f>
        <v>2095.8609882056517</v>
      </c>
      <c r="AP41" s="21">
        <f>'CFS (Bull-Case)'!AP41-'CFS (Base-Case)'!AP41</f>
        <v>2170.8362252211264</v>
      </c>
      <c r="AQ41" s="22">
        <f>'CFS (Bull-Case)'!AQ41-'CFS (Base-Case)'!AQ41</f>
        <v>2170.8362252211264</v>
      </c>
      <c r="AR41" s="21">
        <f>'CFS (Bull-Case)'!AR41-'CFS (Base-Case)'!AR41</f>
        <v>2238.7333810179794</v>
      </c>
      <c r="AS41" s="21">
        <f>'CFS (Bull-Case)'!AS41-'CFS (Base-Case)'!AS41</f>
        <v>2288.5026388513006</v>
      </c>
      <c r="AT41" s="21">
        <f>'CFS (Bull-Case)'!AT41-'CFS (Base-Case)'!AT41</f>
        <v>2354.7307037355577</v>
      </c>
      <c r="AU41" s="21">
        <f>'CFS (Bull-Case)'!AU41-'CFS (Base-Case)'!AU41</f>
        <v>2435.0174464591173</v>
      </c>
      <c r="AV41" s="22">
        <f>'CFS (Bull-Case)'!AV41-'CFS (Base-Case)'!AV41</f>
        <v>2435.0174464591155</v>
      </c>
    </row>
    <row r="42" spans="2:48" s="23" customFormat="1" outlineLevel="1" x14ac:dyDescent="0.3">
      <c r="B42" s="478" t="s">
        <v>300</v>
      </c>
      <c r="C42" s="479"/>
      <c r="D42" s="321">
        <f>'CFS (Bull-Case)'!D42-'CFS (Base-Case)'!D42</f>
        <v>0</v>
      </c>
      <c r="E42" s="321">
        <f>'CFS (Bull-Case)'!E42-'CFS (Base-Case)'!E42</f>
        <v>0</v>
      </c>
      <c r="F42" s="321">
        <f>'CFS (Bull-Case)'!F42-'CFS (Base-Case)'!F42</f>
        <v>0</v>
      </c>
      <c r="G42" s="321">
        <f>'CFS (Bull-Case)'!G42-'CFS (Base-Case)'!G42</f>
        <v>0</v>
      </c>
      <c r="H42" s="342">
        <f>'CFS (Bull-Case)'!H42-'CFS (Base-Case)'!H42</f>
        <v>0</v>
      </c>
      <c r="I42" s="321">
        <f>'CFS (Bull-Case)'!I42-'CFS (Base-Case)'!I42</f>
        <v>0</v>
      </c>
      <c r="J42" s="321">
        <f>'CFS (Bull-Case)'!J42-'CFS (Base-Case)'!J42</f>
        <v>0</v>
      </c>
      <c r="K42" s="321">
        <f>'CFS (Bull-Case)'!K42-'CFS (Base-Case)'!K42</f>
        <v>0</v>
      </c>
      <c r="L42" s="321">
        <f>'CFS (Bull-Case)'!L42-'CFS (Base-Case)'!L42</f>
        <v>0</v>
      </c>
      <c r="M42" s="342">
        <f>'CFS (Bull-Case)'!M42-'CFS (Base-Case)'!M42</f>
        <v>0</v>
      </c>
      <c r="N42" s="321">
        <f>'CFS (Bull-Case)'!N42-'CFS (Base-Case)'!N42</f>
        <v>0</v>
      </c>
      <c r="O42" s="321">
        <f>'CFS (Bull-Case)'!O42-'CFS (Base-Case)'!O42</f>
        <v>0</v>
      </c>
      <c r="P42" s="321">
        <f>'CFS (Bull-Case)'!P42-'CFS (Base-Case)'!P42</f>
        <v>0</v>
      </c>
      <c r="Q42" s="321">
        <f>'CFS (Bull-Case)'!Q42-'CFS (Base-Case)'!Q42</f>
        <v>0</v>
      </c>
      <c r="R42" s="342">
        <f>'CFS (Bull-Case)'!R42-'CFS (Base-Case)'!R42</f>
        <v>0</v>
      </c>
      <c r="S42" s="321">
        <f>'CFS (Bull-Case)'!S42-'CFS (Base-Case)'!S42</f>
        <v>0</v>
      </c>
      <c r="T42" s="321">
        <f>'CFS (Bull-Case)'!T42-'CFS (Base-Case)'!T42</f>
        <v>0</v>
      </c>
      <c r="U42" s="321">
        <f>'CFS (Bull-Case)'!U42-'CFS (Base-Case)'!U42</f>
        <v>0</v>
      </c>
      <c r="V42" s="321">
        <f>'CFS (Bull-Case)'!V42-'CFS (Base-Case)'!V42</f>
        <v>0</v>
      </c>
      <c r="W42" s="342">
        <f>'CFS (Bull-Case)'!W42-'CFS (Base-Case)'!W42</f>
        <v>0</v>
      </c>
      <c r="X42" s="321">
        <f>'CFS (Bull-Case)'!X42-'CFS (Base-Case)'!X42</f>
        <v>0</v>
      </c>
      <c r="Y42" s="321">
        <f>'CFS (Bull-Case)'!Y42-'CFS (Base-Case)'!Y42</f>
        <v>0</v>
      </c>
      <c r="Z42" s="321">
        <f>'CFS (Bull-Case)'!Z42-'CFS (Base-Case)'!Z42</f>
        <v>0</v>
      </c>
      <c r="AA42" s="321">
        <f>'CFS (Bull-Case)'!AA42-'CFS (Base-Case)'!AA42</f>
        <v>0</v>
      </c>
      <c r="AB42" s="342">
        <f>'CFS (Bull-Case)'!AB42-'CFS (Base-Case)'!AB42</f>
        <v>0</v>
      </c>
      <c r="AC42" s="321">
        <f>'CFS (Bull-Case)'!AC42-'CFS (Base-Case)'!AC42</f>
        <v>0</v>
      </c>
      <c r="AD42" s="321">
        <f>'CFS (Bull-Case)'!AD42-'CFS (Base-Case)'!AD42</f>
        <v>0</v>
      </c>
      <c r="AE42" s="321">
        <f>'CFS (Bull-Case)'!AE42-'CFS (Base-Case)'!AE42</f>
        <v>0</v>
      </c>
      <c r="AF42" s="321">
        <f>'CFS (Bull-Case)'!AF42-'CFS (Base-Case)'!AF42</f>
        <v>0</v>
      </c>
      <c r="AG42" s="342">
        <f>'CFS (Bull-Case)'!AG42-'CFS (Base-Case)'!AG42</f>
        <v>0</v>
      </c>
      <c r="AH42" s="321">
        <f>'CFS (Bull-Case)'!AH42-'CFS (Base-Case)'!AH42</f>
        <v>0</v>
      </c>
      <c r="AI42" s="321">
        <f>'CFS (Bull-Case)'!AI42-'CFS (Base-Case)'!AI42</f>
        <v>0</v>
      </c>
      <c r="AJ42" s="321">
        <f>'CFS (Bull-Case)'!AJ42-'CFS (Base-Case)'!AJ42</f>
        <v>0</v>
      </c>
      <c r="AK42" s="321">
        <f>'CFS (Bull-Case)'!AK42-'CFS (Base-Case)'!AK42</f>
        <v>0</v>
      </c>
      <c r="AL42" s="342">
        <f>'CFS (Bull-Case)'!AL42-'CFS (Base-Case)'!AL42</f>
        <v>0</v>
      </c>
      <c r="AM42" s="321">
        <f>'CFS (Bull-Case)'!AM42-'CFS (Base-Case)'!AM42</f>
        <v>0</v>
      </c>
      <c r="AN42" s="321">
        <f>'CFS (Bull-Case)'!AN42-'CFS (Base-Case)'!AN42</f>
        <v>0</v>
      </c>
      <c r="AO42" s="321">
        <f>'CFS (Bull-Case)'!AO42-'CFS (Base-Case)'!AO42</f>
        <v>0</v>
      </c>
      <c r="AP42" s="321">
        <f>'CFS (Bull-Case)'!AP42-'CFS (Base-Case)'!AP42</f>
        <v>0</v>
      </c>
      <c r="AQ42" s="342">
        <f>'CFS (Bull-Case)'!AQ42-'CFS (Base-Case)'!AQ42</f>
        <v>0</v>
      </c>
      <c r="AR42" s="321">
        <f>'CFS (Bull-Case)'!AR42-'CFS (Base-Case)'!AR42</f>
        <v>0</v>
      </c>
      <c r="AS42" s="321">
        <f>'CFS (Bull-Case)'!AS42-'CFS (Base-Case)'!AS42</f>
        <v>0</v>
      </c>
      <c r="AT42" s="321">
        <f>'CFS (Bull-Case)'!AT42-'CFS (Base-Case)'!AT42</f>
        <v>0</v>
      </c>
      <c r="AU42" s="321">
        <f>'CFS (Bull-Case)'!AU42-'CFS (Base-Case)'!AU42</f>
        <v>0</v>
      </c>
      <c r="AV42" s="342">
        <f>'CFS (Bull-Case)'!AV42-'CFS (Base-Case)'!AV42</f>
        <v>0</v>
      </c>
    </row>
    <row r="43" spans="2:48" s="23" customFormat="1" outlineLevel="1" x14ac:dyDescent="0.3">
      <c r="B43" s="325" t="s">
        <v>301</v>
      </c>
      <c r="C43" s="326"/>
      <c r="D43" s="327">
        <f>'CFS (Bull-Case)'!D43-'CFS (Base-Case)'!D43</f>
        <v>0</v>
      </c>
      <c r="E43" s="327">
        <f>'CFS (Bull-Case)'!E43-'CFS (Base-Case)'!E43</f>
        <v>0</v>
      </c>
      <c r="F43" s="343">
        <f>'CFS (Bull-Case)'!F43-'CFS (Base-Case)'!F43</f>
        <v>0</v>
      </c>
      <c r="G43" s="327">
        <f>'CFS (Bull-Case)'!G43-'CFS (Base-Case)'!G43</f>
        <v>0</v>
      </c>
      <c r="H43" s="328">
        <f>'CFS (Bull-Case)'!H43-'CFS (Base-Case)'!H43</f>
        <v>0</v>
      </c>
      <c r="I43" s="327">
        <f>'CFS (Bull-Case)'!I43-'CFS (Base-Case)'!I43</f>
        <v>0</v>
      </c>
      <c r="J43" s="327">
        <f>'CFS (Bull-Case)'!J43-'CFS (Base-Case)'!J43</f>
        <v>0</v>
      </c>
      <c r="K43" s="327">
        <f>'CFS (Bull-Case)'!K43-'CFS (Base-Case)'!K43</f>
        <v>0</v>
      </c>
      <c r="L43" s="327">
        <f>'CFS (Bull-Case)'!L43-'CFS (Base-Case)'!L43</f>
        <v>0</v>
      </c>
      <c r="M43" s="328">
        <f>'CFS (Bull-Case)'!M43-'CFS (Base-Case)'!M43</f>
        <v>0</v>
      </c>
      <c r="N43" s="327">
        <f>'CFS (Bull-Case)'!N43-'CFS (Base-Case)'!N43</f>
        <v>0</v>
      </c>
      <c r="O43" s="327">
        <f>'CFS (Bull-Case)'!O43-'CFS (Base-Case)'!O43</f>
        <v>0</v>
      </c>
      <c r="P43" s="327">
        <f>'CFS (Bull-Case)'!P43-'CFS (Base-Case)'!P43</f>
        <v>0</v>
      </c>
      <c r="Q43" s="327">
        <f>'CFS (Bull-Case)'!Q43-'CFS (Base-Case)'!Q43</f>
        <v>0</v>
      </c>
      <c r="R43" s="328">
        <f>'CFS (Bull-Case)'!R43-'CFS (Base-Case)'!R43</f>
        <v>0</v>
      </c>
      <c r="S43" s="327">
        <f>'CFS (Bull-Case)'!S43-'CFS (Base-Case)'!S43</f>
        <v>0</v>
      </c>
      <c r="T43" s="327">
        <f>'CFS (Bull-Case)'!T43-'CFS (Base-Case)'!T43</f>
        <v>0</v>
      </c>
      <c r="U43" s="327">
        <f>'CFS (Bull-Case)'!U43-'CFS (Base-Case)'!U43</f>
        <v>0</v>
      </c>
      <c r="V43" s="327">
        <f>'CFS (Bull-Case)'!V43-'CFS (Base-Case)'!V43</f>
        <v>0</v>
      </c>
      <c r="W43" s="328">
        <f>'CFS (Bull-Case)'!W43-'CFS (Base-Case)'!W43</f>
        <v>0</v>
      </c>
      <c r="X43" s="327">
        <f>'CFS (Bull-Case)'!X43-'CFS (Base-Case)'!X43</f>
        <v>0</v>
      </c>
      <c r="Y43" s="327">
        <f>'CFS (Bull-Case)'!Y43-'CFS (Base-Case)'!Y43</f>
        <v>0</v>
      </c>
      <c r="Z43" s="327">
        <f>'CFS (Bull-Case)'!Z43-'CFS (Base-Case)'!Z43</f>
        <v>0</v>
      </c>
      <c r="AA43" s="327">
        <f>'CFS (Bull-Case)'!AA43-'CFS (Base-Case)'!AA43</f>
        <v>0</v>
      </c>
      <c r="AB43" s="328">
        <f>'CFS (Bull-Case)'!AB43-'CFS (Base-Case)'!AB43</f>
        <v>0</v>
      </c>
      <c r="AC43" s="327">
        <f>'CFS (Bull-Case)'!AC43-'CFS (Base-Case)'!AC43</f>
        <v>0</v>
      </c>
      <c r="AD43" s="327">
        <f>'CFS (Bull-Case)'!AD43-'CFS (Base-Case)'!AD43</f>
        <v>0</v>
      </c>
      <c r="AE43" s="327">
        <f>'CFS (Bull-Case)'!AE43-'CFS (Base-Case)'!AE43</f>
        <v>0</v>
      </c>
      <c r="AF43" s="327">
        <f>'CFS (Bull-Case)'!AF43-'CFS (Base-Case)'!AF43</f>
        <v>0</v>
      </c>
      <c r="AG43" s="328">
        <f>'CFS (Bull-Case)'!AG43-'CFS (Base-Case)'!AG43</f>
        <v>0</v>
      </c>
      <c r="AH43" s="327">
        <f>'CFS (Bull-Case)'!AH43-'CFS (Base-Case)'!AH43</f>
        <v>0</v>
      </c>
      <c r="AI43" s="327">
        <f>'CFS (Bull-Case)'!AI43-'CFS (Base-Case)'!AI43</f>
        <v>0</v>
      </c>
      <c r="AJ43" s="327">
        <f>'CFS (Bull-Case)'!AJ43-'CFS (Base-Case)'!AJ43</f>
        <v>0</v>
      </c>
      <c r="AK43" s="327">
        <f>'CFS (Bull-Case)'!AK43-'CFS (Base-Case)'!AK43</f>
        <v>0</v>
      </c>
      <c r="AL43" s="328">
        <f>'CFS (Bull-Case)'!AL43-'CFS (Base-Case)'!AL43</f>
        <v>0</v>
      </c>
      <c r="AM43" s="327">
        <f>'CFS (Bull-Case)'!AM43-'CFS (Base-Case)'!AM43</f>
        <v>0</v>
      </c>
      <c r="AN43" s="327">
        <f>'CFS (Bull-Case)'!AN43-'CFS (Base-Case)'!AN43</f>
        <v>0</v>
      </c>
      <c r="AO43" s="327">
        <f>'CFS (Bull-Case)'!AO43-'CFS (Base-Case)'!AO43</f>
        <v>0</v>
      </c>
      <c r="AP43" s="327">
        <f>'CFS (Bull-Case)'!AP43-'CFS (Base-Case)'!AP43</f>
        <v>0</v>
      </c>
      <c r="AQ43" s="328">
        <f>'CFS (Bull-Case)'!AQ43-'CFS (Base-Case)'!AQ43</f>
        <v>0</v>
      </c>
      <c r="AR43" s="327">
        <f>'CFS (Bull-Case)'!AR43-'CFS (Base-Case)'!AR43</f>
        <v>0</v>
      </c>
      <c r="AS43" s="327">
        <f>'CFS (Bull-Case)'!AS43-'CFS (Base-Case)'!AS43</f>
        <v>0</v>
      </c>
      <c r="AT43" s="327">
        <f>'CFS (Bull-Case)'!AT43-'CFS (Base-Case)'!AT43</f>
        <v>0</v>
      </c>
      <c r="AU43" s="327">
        <f>'CFS (Bull-Case)'!AU43-'CFS (Base-Case)'!AU43</f>
        <v>0</v>
      </c>
      <c r="AV43" s="328">
        <f>'CFS (Bull-Case)'!AV43-'CFS (Base-Case)'!AV43</f>
        <v>0</v>
      </c>
    </row>
    <row r="44" spans="2:48" s="23" customFormat="1" outlineLevel="1" x14ac:dyDescent="0.3">
      <c r="B44" s="480" t="s">
        <v>302</v>
      </c>
      <c r="C44" s="481"/>
      <c r="D44" s="344">
        <f>'CFS (Bull-Case)'!D44-'CFS (Base-Case)'!D44</f>
        <v>0</v>
      </c>
      <c r="E44" s="344">
        <f>'CFS (Bull-Case)'!E44-'CFS (Base-Case)'!E44</f>
        <v>0</v>
      </c>
      <c r="F44" s="344">
        <f>'CFS (Bull-Case)'!F44-'CFS (Base-Case)'!F44</f>
        <v>0</v>
      </c>
      <c r="G44" s="344">
        <f>'CFS (Bull-Case)'!G44-'CFS (Base-Case)'!G44</f>
        <v>0</v>
      </c>
      <c r="H44" s="345">
        <f>'CFS (Bull-Case)'!H44-'CFS (Base-Case)'!H44</f>
        <v>0</v>
      </c>
      <c r="I44" s="344">
        <f>'CFS (Bull-Case)'!I44-'CFS (Base-Case)'!I44</f>
        <v>0</v>
      </c>
      <c r="J44" s="344">
        <f>'CFS (Bull-Case)'!J44-'CFS (Base-Case)'!J44</f>
        <v>0</v>
      </c>
      <c r="K44" s="344">
        <f>'CFS (Bull-Case)'!K44-'CFS (Base-Case)'!K44</f>
        <v>0</v>
      </c>
      <c r="L44" s="344">
        <f>'CFS (Bull-Case)'!L44-'CFS (Base-Case)'!L44</f>
        <v>0</v>
      </c>
      <c r="M44" s="345">
        <f>'CFS (Bull-Case)'!M44-'CFS (Base-Case)'!M44</f>
        <v>0</v>
      </c>
      <c r="N44" s="344">
        <f>'CFS (Bull-Case)'!N44-'CFS (Base-Case)'!N44</f>
        <v>0</v>
      </c>
      <c r="O44" s="344">
        <f>'CFS (Bull-Case)'!O44-'CFS (Base-Case)'!O44</f>
        <v>0</v>
      </c>
      <c r="P44" s="344">
        <f>'CFS (Bull-Case)'!P44-'CFS (Base-Case)'!P44</f>
        <v>0</v>
      </c>
      <c r="Q44" s="344">
        <f>'CFS (Bull-Case)'!Q44-'CFS (Base-Case)'!Q44</f>
        <v>0</v>
      </c>
      <c r="R44" s="345">
        <f>'CFS (Bull-Case)'!R44-'CFS (Base-Case)'!R44</f>
        <v>0</v>
      </c>
      <c r="S44" s="344">
        <f>'CFS (Bull-Case)'!S44-'CFS (Base-Case)'!S44</f>
        <v>0</v>
      </c>
      <c r="T44" s="344">
        <f>'CFS (Bull-Case)'!T44-'CFS (Base-Case)'!T44</f>
        <v>0</v>
      </c>
      <c r="U44" s="344">
        <f>'CFS (Bull-Case)'!U44-'CFS (Base-Case)'!U44</f>
        <v>0</v>
      </c>
      <c r="V44" s="344">
        <f>'CFS (Bull-Case)'!V44-'CFS (Base-Case)'!V44</f>
        <v>0</v>
      </c>
      <c r="W44" s="345">
        <f>'CFS (Bull-Case)'!W44-'CFS (Base-Case)'!W44</f>
        <v>0</v>
      </c>
      <c r="X44" s="344">
        <f>'CFS (Bull-Case)'!X44-'CFS (Base-Case)'!X44</f>
        <v>0</v>
      </c>
      <c r="Y44" s="344">
        <f>'CFS (Bull-Case)'!Y44-'CFS (Base-Case)'!Y44</f>
        <v>0</v>
      </c>
      <c r="Z44" s="344">
        <f>'CFS (Bull-Case)'!Z44-'CFS (Base-Case)'!Z44</f>
        <v>0</v>
      </c>
      <c r="AA44" s="344">
        <f>'CFS (Bull-Case)'!AA44-'CFS (Base-Case)'!AA44</f>
        <v>0</v>
      </c>
      <c r="AB44" s="345">
        <f>'CFS (Bull-Case)'!AB44-'CFS (Base-Case)'!AB44</f>
        <v>0</v>
      </c>
      <c r="AC44" s="344">
        <f>'CFS (Bull-Case)'!AC44-'CFS (Base-Case)'!AC44</f>
        <v>0</v>
      </c>
      <c r="AD44" s="344">
        <f>'CFS (Bull-Case)'!AD44-'CFS (Base-Case)'!AD44</f>
        <v>0</v>
      </c>
      <c r="AE44" s="344">
        <f>'CFS (Bull-Case)'!AE44-'CFS (Base-Case)'!AE44</f>
        <v>0</v>
      </c>
      <c r="AF44" s="344">
        <f>'CFS (Bull-Case)'!AF44-'CFS (Base-Case)'!AF44</f>
        <v>0</v>
      </c>
      <c r="AG44" s="345">
        <f>'CFS (Bull-Case)'!AG44-'CFS (Base-Case)'!AG44</f>
        <v>0</v>
      </c>
      <c r="AH44" s="344">
        <f>'CFS (Bull-Case)'!AH44-'CFS (Base-Case)'!AH44</f>
        <v>0</v>
      </c>
      <c r="AI44" s="344">
        <f>'CFS (Bull-Case)'!AI44-'CFS (Base-Case)'!AI44</f>
        <v>0</v>
      </c>
      <c r="AJ44" s="344">
        <f>'CFS (Bull-Case)'!AJ44-'CFS (Base-Case)'!AJ44</f>
        <v>0</v>
      </c>
      <c r="AK44" s="344">
        <f>'CFS (Bull-Case)'!AK44-'CFS (Base-Case)'!AK44</f>
        <v>0</v>
      </c>
      <c r="AL44" s="345">
        <f>'CFS (Bull-Case)'!AL44-'CFS (Base-Case)'!AL44</f>
        <v>0</v>
      </c>
      <c r="AM44" s="344">
        <f>'CFS (Bull-Case)'!AM44-'CFS (Base-Case)'!AM44</f>
        <v>0</v>
      </c>
      <c r="AN44" s="344">
        <f>'CFS (Bull-Case)'!AN44-'CFS (Base-Case)'!AN44</f>
        <v>0</v>
      </c>
      <c r="AO44" s="344">
        <f>'CFS (Bull-Case)'!AO44-'CFS (Base-Case)'!AO44</f>
        <v>0</v>
      </c>
      <c r="AP44" s="344">
        <f>'CFS (Bull-Case)'!AP44-'CFS (Base-Case)'!AP44</f>
        <v>0</v>
      </c>
      <c r="AQ44" s="345">
        <f>'CFS (Bull-Case)'!AQ44-'CFS (Base-Case)'!AQ44</f>
        <v>0</v>
      </c>
      <c r="AR44" s="344">
        <f>'CFS (Bull-Case)'!AR44-'CFS (Base-Case)'!AR44</f>
        <v>0</v>
      </c>
      <c r="AS44" s="344">
        <f>'CFS (Bull-Case)'!AS44-'CFS (Base-Case)'!AS44</f>
        <v>0</v>
      </c>
      <c r="AT44" s="344">
        <f>'CFS (Bull-Case)'!AT44-'CFS (Base-Case)'!AT44</f>
        <v>0</v>
      </c>
      <c r="AU44" s="344">
        <f>'CFS (Bull-Case)'!AU44-'CFS (Base-Case)'!AU44</f>
        <v>0</v>
      </c>
      <c r="AV44" s="345">
        <f>'CFS (Bull-Case)'!AV44-'CFS (Base-Case)'!AV44</f>
        <v>0</v>
      </c>
    </row>
    <row r="45" spans="2:48" outlineLevel="1" x14ac:dyDescent="0.3">
      <c r="B45" s="250" t="s">
        <v>303</v>
      </c>
      <c r="C45" s="249"/>
      <c r="D45" s="334">
        <f>'CFS (Bull-Case)'!D45-'CFS (Base-Case)'!D45</f>
        <v>0</v>
      </c>
      <c r="E45" s="334">
        <f>'CFS (Bull-Case)'!E45-'CFS (Base-Case)'!E45</f>
        <v>0</v>
      </c>
      <c r="F45" s="334">
        <f>'CFS (Bull-Case)'!F45-'CFS (Base-Case)'!F45</f>
        <v>0</v>
      </c>
      <c r="G45" s="334">
        <f>'CFS (Bull-Case)'!G45-'CFS (Base-Case)'!G45</f>
        <v>0</v>
      </c>
      <c r="H45" s="335">
        <f>'CFS (Bull-Case)'!H45-'CFS (Base-Case)'!H45</f>
        <v>0</v>
      </c>
      <c r="I45" s="334">
        <f>'CFS (Bull-Case)'!I45-'CFS (Base-Case)'!I45</f>
        <v>0</v>
      </c>
      <c r="J45" s="334">
        <f>'CFS (Bull-Case)'!J45-'CFS (Base-Case)'!J45</f>
        <v>0</v>
      </c>
      <c r="K45" s="334">
        <f>'CFS (Bull-Case)'!K45-'CFS (Base-Case)'!K45</f>
        <v>0</v>
      </c>
      <c r="L45" s="334">
        <f>'CFS (Bull-Case)'!L45-'CFS (Base-Case)'!L45</f>
        <v>0</v>
      </c>
      <c r="M45" s="335">
        <f>'CFS (Bull-Case)'!M45-'CFS (Base-Case)'!M45</f>
        <v>0</v>
      </c>
      <c r="N45" s="334">
        <f>'CFS (Bull-Case)'!N45-'CFS (Base-Case)'!N45</f>
        <v>0</v>
      </c>
      <c r="O45" s="334">
        <f>'CFS (Bull-Case)'!O45-'CFS (Base-Case)'!O45</f>
        <v>0</v>
      </c>
      <c r="P45" s="334">
        <f>'CFS (Bull-Case)'!P45-'CFS (Base-Case)'!P45</f>
        <v>0</v>
      </c>
      <c r="Q45" s="334">
        <f>'CFS (Bull-Case)'!Q45-'CFS (Base-Case)'!Q45</f>
        <v>0</v>
      </c>
      <c r="R45" s="335">
        <f>'CFS (Bull-Case)'!R45-'CFS (Base-Case)'!R45</f>
        <v>0</v>
      </c>
      <c r="S45" s="334">
        <f>'CFS (Bull-Case)'!S45-'CFS (Base-Case)'!S45</f>
        <v>0</v>
      </c>
      <c r="T45" s="334">
        <f>'CFS (Bull-Case)'!T45-'CFS (Base-Case)'!T45</f>
        <v>0</v>
      </c>
      <c r="U45" s="334">
        <f>'CFS (Bull-Case)'!U45-'CFS (Base-Case)'!U45</f>
        <v>0</v>
      </c>
      <c r="V45" s="334">
        <f>'CFS (Bull-Case)'!V45-'CFS (Base-Case)'!V45</f>
        <v>0</v>
      </c>
      <c r="W45" s="335">
        <f>'CFS (Bull-Case)'!W45-'CFS (Base-Case)'!W45</f>
        <v>0</v>
      </c>
      <c r="X45" s="334">
        <f>'CFS (Bull-Case)'!X45-'CFS (Base-Case)'!X45</f>
        <v>0</v>
      </c>
      <c r="Y45" s="334">
        <f>'CFS (Bull-Case)'!Y45-'CFS (Base-Case)'!Y45</f>
        <v>0</v>
      </c>
      <c r="Z45" s="334">
        <f>'CFS (Bull-Case)'!Z45-'CFS (Base-Case)'!Z45</f>
        <v>0</v>
      </c>
      <c r="AA45" s="334">
        <f>'CFS (Bull-Case)'!AA45-'CFS (Base-Case)'!AA45</f>
        <v>0</v>
      </c>
      <c r="AB45" s="335">
        <f>'CFS (Bull-Case)'!AB45-'CFS (Base-Case)'!AB45</f>
        <v>0</v>
      </c>
      <c r="AC45" s="334">
        <f>'CFS (Bull-Case)'!AC45-'CFS (Base-Case)'!AC45</f>
        <v>0</v>
      </c>
      <c r="AD45" s="334">
        <f>'CFS (Bull-Case)'!AD45-'CFS (Base-Case)'!AD45</f>
        <v>0</v>
      </c>
      <c r="AE45" s="334">
        <f>'CFS (Bull-Case)'!AE45-'CFS (Base-Case)'!AE45</f>
        <v>0</v>
      </c>
      <c r="AF45" s="334">
        <f>'CFS (Bull-Case)'!AF45-'CFS (Base-Case)'!AF45</f>
        <v>0</v>
      </c>
      <c r="AG45" s="335">
        <f>'CFS (Bull-Case)'!AG45-'CFS (Base-Case)'!AG45</f>
        <v>0</v>
      </c>
      <c r="AH45" s="334">
        <f>'CFS (Bull-Case)'!AH45-'CFS (Base-Case)'!AH45</f>
        <v>0</v>
      </c>
      <c r="AI45" s="334">
        <f>'CFS (Bull-Case)'!AI45-'CFS (Base-Case)'!AI45</f>
        <v>0</v>
      </c>
      <c r="AJ45" s="334">
        <f>'CFS (Bull-Case)'!AJ45-'CFS (Base-Case)'!AJ45</f>
        <v>0</v>
      </c>
      <c r="AK45" s="334">
        <f>'CFS (Bull-Case)'!AK45-'CFS (Base-Case)'!AK45</f>
        <v>0</v>
      </c>
      <c r="AL45" s="335">
        <f>'CFS (Bull-Case)'!AL45-'CFS (Base-Case)'!AL45</f>
        <v>0</v>
      </c>
      <c r="AM45" s="334">
        <f>'CFS (Bull-Case)'!AM45-'CFS (Base-Case)'!AM45</f>
        <v>0</v>
      </c>
      <c r="AN45" s="334">
        <f>'CFS (Bull-Case)'!AN45-'CFS (Base-Case)'!AN45</f>
        <v>0</v>
      </c>
      <c r="AO45" s="334">
        <f>'CFS (Bull-Case)'!AO45-'CFS (Base-Case)'!AO45</f>
        <v>0</v>
      </c>
      <c r="AP45" s="334">
        <f>'CFS (Bull-Case)'!AP45-'CFS (Base-Case)'!AP45</f>
        <v>0</v>
      </c>
      <c r="AQ45" s="335">
        <f>'CFS (Bull-Case)'!AQ45-'CFS (Base-Case)'!AQ45</f>
        <v>0</v>
      </c>
      <c r="AR45" s="334">
        <f>'CFS (Bull-Case)'!AR45-'CFS (Base-Case)'!AR45</f>
        <v>0</v>
      </c>
      <c r="AS45" s="334">
        <f>'CFS (Bull-Case)'!AS45-'CFS (Base-Case)'!AS45</f>
        <v>0</v>
      </c>
      <c r="AT45" s="334">
        <f>'CFS (Bull-Case)'!AT45-'CFS (Base-Case)'!AT45</f>
        <v>0</v>
      </c>
      <c r="AU45" s="334">
        <f>'CFS (Bull-Case)'!AU45-'CFS (Base-Case)'!AU45</f>
        <v>0</v>
      </c>
      <c r="AV45" s="335">
        <f>'CFS (Bull-Case)'!AV45-'CFS (Base-Case)'!AV45</f>
        <v>0</v>
      </c>
    </row>
    <row r="46" spans="2:48" outlineLevel="1" x14ac:dyDescent="0.3">
      <c r="B46" s="200" t="s">
        <v>304</v>
      </c>
      <c r="C46" s="201"/>
      <c r="D46" s="16">
        <f>'CFS (Bull-Case)'!D46-'CFS (Base-Case)'!D46</f>
        <v>0</v>
      </c>
      <c r="E46" s="16">
        <f>'CFS (Bull-Case)'!E46-'CFS (Base-Case)'!E46</f>
        <v>0</v>
      </c>
      <c r="F46" s="16">
        <f>'CFS (Bull-Case)'!F46-'CFS (Base-Case)'!F46</f>
        <v>0</v>
      </c>
      <c r="G46" s="16">
        <f>'CFS (Bull-Case)'!G46-'CFS (Base-Case)'!G46</f>
        <v>0</v>
      </c>
      <c r="H46" s="17">
        <f>'CFS (Bull-Case)'!H46-'CFS (Base-Case)'!H46</f>
        <v>0</v>
      </c>
      <c r="I46" s="16">
        <f>'CFS (Bull-Case)'!I46-'CFS (Base-Case)'!I46</f>
        <v>0</v>
      </c>
      <c r="J46" s="16">
        <f>'CFS (Bull-Case)'!J46-'CFS (Base-Case)'!J46</f>
        <v>0</v>
      </c>
      <c r="K46" s="16">
        <f>'CFS (Bull-Case)'!K46-'CFS (Base-Case)'!K46</f>
        <v>0</v>
      </c>
      <c r="L46" s="16">
        <f>'CFS (Bull-Case)'!L46-'CFS (Base-Case)'!L46</f>
        <v>0</v>
      </c>
      <c r="M46" s="17">
        <f>'CFS (Bull-Case)'!M46-'CFS (Base-Case)'!M46</f>
        <v>0</v>
      </c>
      <c r="N46" s="16">
        <f>'CFS (Bull-Case)'!N46-'CFS (Base-Case)'!N46</f>
        <v>0</v>
      </c>
      <c r="O46" s="16">
        <f>'CFS (Bull-Case)'!O46-'CFS (Base-Case)'!O46</f>
        <v>0</v>
      </c>
      <c r="P46" s="16">
        <f>'CFS (Bull-Case)'!P46-'CFS (Base-Case)'!P46</f>
        <v>0</v>
      </c>
      <c r="Q46" s="16">
        <f>'CFS (Bull-Case)'!Q46-'CFS (Base-Case)'!Q46</f>
        <v>0</v>
      </c>
      <c r="R46" s="17">
        <f>'CFS (Bull-Case)'!R46-'CFS (Base-Case)'!R46</f>
        <v>0</v>
      </c>
      <c r="S46" s="16">
        <f>'CFS (Bull-Case)'!S46-'CFS (Base-Case)'!S46</f>
        <v>0</v>
      </c>
      <c r="T46" s="16">
        <f>'CFS (Bull-Case)'!T46-'CFS (Base-Case)'!T46</f>
        <v>0</v>
      </c>
      <c r="U46" s="16">
        <f>'CFS (Bull-Case)'!U46-'CFS (Base-Case)'!U46</f>
        <v>0</v>
      </c>
      <c r="V46" s="16">
        <f>'CFS (Bull-Case)'!V46-'CFS (Base-Case)'!V46</f>
        <v>0</v>
      </c>
      <c r="W46" s="17">
        <f>'CFS (Bull-Case)'!W46-'CFS (Base-Case)'!W46</f>
        <v>0</v>
      </c>
      <c r="X46" s="16">
        <f>'CFS (Bull-Case)'!X46-'CFS (Base-Case)'!X46</f>
        <v>-1.7007708991891377</v>
      </c>
      <c r="Y46" s="16">
        <f>'CFS (Bull-Case)'!Y46-'CFS (Base-Case)'!Y46</f>
        <v>9.3416931143842703</v>
      </c>
      <c r="Z46" s="16">
        <f>'CFS (Bull-Case)'!Z46-'CFS (Base-Case)'!Z46</f>
        <v>22.650494069175693</v>
      </c>
      <c r="AA46" s="16">
        <f>'CFS (Bull-Case)'!AA46-'CFS (Base-Case)'!AA46</f>
        <v>44.569752272201185</v>
      </c>
      <c r="AB46" s="17">
        <f>'CFS (Bull-Case)'!AB46-'CFS (Base-Case)'!AB46</f>
        <v>44.569752272201185</v>
      </c>
      <c r="AC46" s="16">
        <f>'CFS (Bull-Case)'!AC46-'CFS (Base-Case)'!AC46</f>
        <v>72.817785315503897</v>
      </c>
      <c r="AD46" s="16">
        <f>'CFS (Bull-Case)'!AD46-'CFS (Base-Case)'!AD46</f>
        <v>108.54042600791672</v>
      </c>
      <c r="AE46" s="16">
        <f>'CFS (Bull-Case)'!AE46-'CFS (Base-Case)'!AE46</f>
        <v>153.61718347909664</v>
      </c>
      <c r="AF46" s="16">
        <f>'CFS (Bull-Case)'!AF46-'CFS (Base-Case)'!AF46</f>
        <v>205.10248691581728</v>
      </c>
      <c r="AG46" s="17">
        <f>'CFS (Bull-Case)'!AG46-'CFS (Base-Case)'!AG46</f>
        <v>205.10248691581728</v>
      </c>
      <c r="AH46" s="16">
        <f>'CFS (Bull-Case)'!AH46-'CFS (Base-Case)'!AH46</f>
        <v>267.08270910220926</v>
      </c>
      <c r="AI46" s="16">
        <f>'CFS (Bull-Case)'!AI46-'CFS (Base-Case)'!AI46</f>
        <v>332.46708854477492</v>
      </c>
      <c r="AJ46" s="16">
        <f>'CFS (Bull-Case)'!AJ46-'CFS (Base-Case)'!AJ46</f>
        <v>412.22060021325524</v>
      </c>
      <c r="AK46" s="16">
        <f>'CFS (Bull-Case)'!AK46-'CFS (Base-Case)'!AK46</f>
        <v>1918.6522451503665</v>
      </c>
      <c r="AL46" s="17">
        <f>'CFS (Bull-Case)'!AL46-'CFS (Base-Case)'!AL46</f>
        <v>1918.6522451503665</v>
      </c>
      <c r="AM46" s="16">
        <f>'CFS (Bull-Case)'!AM46-'CFS (Base-Case)'!AM46</f>
        <v>1996.1120338404389</v>
      </c>
      <c r="AN46" s="16">
        <f>'CFS (Bull-Case)'!AN46-'CFS (Base-Case)'!AN46</f>
        <v>2057.0676240020762</v>
      </c>
      <c r="AO46" s="16">
        <f>'CFS (Bull-Case)'!AO46-'CFS (Base-Case)'!AO46</f>
        <v>2126.0995274795891</v>
      </c>
      <c r="AP46" s="16">
        <f>'CFS (Bull-Case)'!AP46-'CFS (Base-Case)'!AP46</f>
        <v>2201.8569992089842</v>
      </c>
      <c r="AQ46" s="17">
        <f>'CFS (Bull-Case)'!AQ46-'CFS (Base-Case)'!AQ46</f>
        <v>2201.8569992089842</v>
      </c>
      <c r="AR46" s="16">
        <f>'CFS (Bull-Case)'!AR46-'CFS (Base-Case)'!AR46</f>
        <v>2270.6818952507047</v>
      </c>
      <c r="AS46" s="16">
        <f>'CFS (Bull-Case)'!AS46-'CFS (Base-Case)'!AS46</f>
        <v>2321.2355398648806</v>
      </c>
      <c r="AT46" s="16">
        <f>'CFS (Bull-Case)'!AT46-'CFS (Base-Case)'!AT46</f>
        <v>2388.5734790645884</v>
      </c>
      <c r="AU46" s="16">
        <f>'CFS (Bull-Case)'!AU46-'CFS (Base-Case)'!AU46</f>
        <v>2469.7156343395282</v>
      </c>
      <c r="AV46" s="17">
        <f>'CFS (Bull-Case)'!AV46-'CFS (Base-Case)'!AV46</f>
        <v>2469.7156343395282</v>
      </c>
    </row>
    <row r="47" spans="2:48" outlineLevel="1" x14ac:dyDescent="0.3">
      <c r="B47" s="200" t="s">
        <v>305</v>
      </c>
      <c r="C47" s="201"/>
      <c r="D47" s="16">
        <f>'CFS (Bull-Case)'!D47-'CFS (Base-Case)'!D47</f>
        <v>0</v>
      </c>
      <c r="E47" s="16">
        <f>'CFS (Bull-Case)'!E47-'CFS (Base-Case)'!E47</f>
        <v>0</v>
      </c>
      <c r="F47" s="16">
        <f>'CFS (Bull-Case)'!F47-'CFS (Base-Case)'!F47</f>
        <v>0</v>
      </c>
      <c r="G47" s="16">
        <f>'CFS (Bull-Case)'!G47-'CFS (Base-Case)'!G47</f>
        <v>0</v>
      </c>
      <c r="H47" s="17">
        <f>'CFS (Bull-Case)'!H47-'CFS (Base-Case)'!H47</f>
        <v>0</v>
      </c>
      <c r="I47" s="16">
        <f>'CFS (Bull-Case)'!I47-'CFS (Base-Case)'!I47</f>
        <v>0</v>
      </c>
      <c r="J47" s="16">
        <f>'CFS (Bull-Case)'!J47-'CFS (Base-Case)'!J47</f>
        <v>0</v>
      </c>
      <c r="K47" s="16">
        <f>'CFS (Bull-Case)'!K47-'CFS (Base-Case)'!K47</f>
        <v>0</v>
      </c>
      <c r="L47" s="16">
        <f>'CFS (Bull-Case)'!L47-'CFS (Base-Case)'!L47</f>
        <v>0</v>
      </c>
      <c r="M47" s="17">
        <f>'CFS (Bull-Case)'!M47-'CFS (Base-Case)'!M47</f>
        <v>0</v>
      </c>
      <c r="N47" s="16">
        <f>'CFS (Bull-Case)'!N47-'CFS (Base-Case)'!N47</f>
        <v>0</v>
      </c>
      <c r="O47" s="16">
        <f>'CFS (Bull-Case)'!O47-'CFS (Base-Case)'!O47</f>
        <v>0</v>
      </c>
      <c r="P47" s="16">
        <f>'CFS (Bull-Case)'!P47-'CFS (Base-Case)'!P47</f>
        <v>0</v>
      </c>
      <c r="Q47" s="16">
        <f>'CFS (Bull-Case)'!Q47-'CFS (Base-Case)'!Q47</f>
        <v>0</v>
      </c>
      <c r="R47" s="17">
        <f>'CFS (Bull-Case)'!R47-'CFS (Base-Case)'!R47</f>
        <v>0</v>
      </c>
      <c r="S47" s="16">
        <f>'CFS (Bull-Case)'!S47-'CFS (Base-Case)'!S47</f>
        <v>0</v>
      </c>
      <c r="T47" s="16">
        <f>'CFS (Bull-Case)'!T47-'CFS (Base-Case)'!T47</f>
        <v>0</v>
      </c>
      <c r="U47" s="16">
        <f>'CFS (Bull-Case)'!U47-'CFS (Base-Case)'!U47</f>
        <v>0</v>
      </c>
      <c r="V47" s="16">
        <f>'CFS (Bull-Case)'!V47-'CFS (Base-Case)'!V47</f>
        <v>0</v>
      </c>
      <c r="W47" s="17">
        <f>'CFS (Bull-Case)'!W47-'CFS (Base-Case)'!W47</f>
        <v>0</v>
      </c>
      <c r="X47" s="16">
        <f>'CFS (Bull-Case)'!X47-'CFS (Base-Case)'!X47</f>
        <v>0</v>
      </c>
      <c r="Y47" s="16">
        <f>'CFS (Bull-Case)'!Y47-'CFS (Base-Case)'!Y47</f>
        <v>0</v>
      </c>
      <c r="Z47" s="16">
        <f>'CFS (Bull-Case)'!Z47-'CFS (Base-Case)'!Z47</f>
        <v>0</v>
      </c>
      <c r="AA47" s="16">
        <f>'CFS (Bull-Case)'!AA47-'CFS (Base-Case)'!AA47</f>
        <v>0</v>
      </c>
      <c r="AB47" s="17">
        <f>'CFS (Bull-Case)'!AB47-'CFS (Base-Case)'!AB47</f>
        <v>0</v>
      </c>
      <c r="AC47" s="16">
        <f>'CFS (Bull-Case)'!AC47-'CFS (Base-Case)'!AC47</f>
        <v>0</v>
      </c>
      <c r="AD47" s="16">
        <f>'CFS (Bull-Case)'!AD47-'CFS (Base-Case)'!AD47</f>
        <v>0</v>
      </c>
      <c r="AE47" s="16">
        <f>'CFS (Bull-Case)'!AE47-'CFS (Base-Case)'!AE47</f>
        <v>0</v>
      </c>
      <c r="AF47" s="16">
        <f>'CFS (Bull-Case)'!AF47-'CFS (Base-Case)'!AF47</f>
        <v>0</v>
      </c>
      <c r="AG47" s="17">
        <f>'CFS (Bull-Case)'!AG47-'CFS (Base-Case)'!AG47</f>
        <v>0</v>
      </c>
      <c r="AH47" s="16">
        <f>'CFS (Bull-Case)'!AH47-'CFS (Base-Case)'!AH47</f>
        <v>0</v>
      </c>
      <c r="AI47" s="16">
        <f>'CFS (Bull-Case)'!AI47-'CFS (Base-Case)'!AI47</f>
        <v>0</v>
      </c>
      <c r="AJ47" s="16">
        <f>'CFS (Bull-Case)'!AJ47-'CFS (Base-Case)'!AJ47</f>
        <v>-1466.3660628610342</v>
      </c>
      <c r="AK47" s="16">
        <f>'CFS (Bull-Case)'!AK47-'CFS (Base-Case)'!AK47</f>
        <v>-1466.3660628610342</v>
      </c>
      <c r="AL47" s="17">
        <f>'CFS (Bull-Case)'!AL47-'CFS (Base-Case)'!AL47</f>
        <v>-1466.3660628610342</v>
      </c>
      <c r="AM47" s="16">
        <f>'CFS (Bull-Case)'!AM47-'CFS (Base-Case)'!AM47</f>
        <v>-1466.3660628610342</v>
      </c>
      <c r="AN47" s="16">
        <f>'CFS (Bull-Case)'!AN47-'CFS (Base-Case)'!AN47</f>
        <v>-1466.3660628610342</v>
      </c>
      <c r="AO47" s="16">
        <f>'CFS (Bull-Case)'!AO47-'CFS (Base-Case)'!AO47</f>
        <v>-1466.3660628610342</v>
      </c>
      <c r="AP47" s="16">
        <f>'CFS (Bull-Case)'!AP47-'CFS (Base-Case)'!AP47</f>
        <v>-1466.3660628610342</v>
      </c>
      <c r="AQ47" s="17">
        <f>'CFS (Bull-Case)'!AQ47-'CFS (Base-Case)'!AQ47</f>
        <v>-1466.3660628610342</v>
      </c>
      <c r="AR47" s="16">
        <f>'CFS (Bull-Case)'!AR47-'CFS (Base-Case)'!AR47</f>
        <v>-1466.3660628610342</v>
      </c>
      <c r="AS47" s="16">
        <f>'CFS (Bull-Case)'!AS47-'CFS (Base-Case)'!AS47</f>
        <v>-1466.3660628610342</v>
      </c>
      <c r="AT47" s="16">
        <f>'CFS (Bull-Case)'!AT47-'CFS (Base-Case)'!AT47</f>
        <v>-1466.3660628610342</v>
      </c>
      <c r="AU47" s="16">
        <f>'CFS (Bull-Case)'!AU47-'CFS (Base-Case)'!AU47</f>
        <v>-1466.3660628610342</v>
      </c>
      <c r="AV47" s="17">
        <f>'CFS (Bull-Case)'!AV47-'CFS (Base-Case)'!AV47</f>
        <v>-1466.3660628610342</v>
      </c>
    </row>
    <row r="48" spans="2:48" outlineLevel="1" x14ac:dyDescent="0.3">
      <c r="B48" s="482" t="s">
        <v>306</v>
      </c>
      <c r="C48" s="483"/>
      <c r="D48" s="346">
        <f>'CFS (Bull-Case)'!D48-'CFS (Base-Case)'!D48</f>
        <v>0</v>
      </c>
      <c r="E48" s="346">
        <f>'CFS (Bull-Case)'!E48-'CFS (Base-Case)'!E48</f>
        <v>0</v>
      </c>
      <c r="F48" s="346">
        <f>'CFS (Bull-Case)'!F48-'CFS (Base-Case)'!F48</f>
        <v>0</v>
      </c>
      <c r="G48" s="346">
        <f>'CFS (Bull-Case)'!G48-'CFS (Base-Case)'!G48</f>
        <v>0</v>
      </c>
      <c r="H48" s="347">
        <f>'CFS (Bull-Case)'!H48-'CFS (Base-Case)'!H48</f>
        <v>0</v>
      </c>
      <c r="I48" s="346">
        <f>'CFS (Bull-Case)'!I48-'CFS (Base-Case)'!I48</f>
        <v>0</v>
      </c>
      <c r="J48" s="346">
        <f>'CFS (Bull-Case)'!J48-'CFS (Base-Case)'!J48</f>
        <v>0</v>
      </c>
      <c r="K48" s="346">
        <f>'CFS (Bull-Case)'!K48-'CFS (Base-Case)'!K48</f>
        <v>0</v>
      </c>
      <c r="L48" s="346">
        <f>'CFS (Bull-Case)'!L48-'CFS (Base-Case)'!L48</f>
        <v>0</v>
      </c>
      <c r="M48" s="347">
        <f>'CFS (Bull-Case)'!M48-'CFS (Base-Case)'!M48</f>
        <v>0</v>
      </c>
      <c r="N48" s="346">
        <f>'CFS (Bull-Case)'!N48-'CFS (Base-Case)'!N48</f>
        <v>0</v>
      </c>
      <c r="O48" s="346">
        <f>'CFS (Bull-Case)'!O48-'CFS (Base-Case)'!O48</f>
        <v>0</v>
      </c>
      <c r="P48" s="346">
        <f>'CFS (Bull-Case)'!P48-'CFS (Base-Case)'!P48</f>
        <v>0</v>
      </c>
      <c r="Q48" s="346">
        <f>'CFS (Bull-Case)'!Q48-'CFS (Base-Case)'!Q48</f>
        <v>0</v>
      </c>
      <c r="R48" s="347">
        <f>'CFS (Bull-Case)'!R48-'CFS (Base-Case)'!R48</f>
        <v>0</v>
      </c>
      <c r="S48" s="346">
        <f>'CFS (Bull-Case)'!S48-'CFS (Base-Case)'!S48</f>
        <v>0</v>
      </c>
      <c r="T48" s="346">
        <f>'CFS (Bull-Case)'!T48-'CFS (Base-Case)'!T48</f>
        <v>0</v>
      </c>
      <c r="U48" s="346">
        <f>'CFS (Bull-Case)'!U48-'CFS (Base-Case)'!U48</f>
        <v>0</v>
      </c>
      <c r="V48" s="346">
        <f>'CFS (Bull-Case)'!V48-'CFS (Base-Case)'!V48</f>
        <v>0</v>
      </c>
      <c r="W48" s="347">
        <f>'CFS (Bull-Case)'!W48-'CFS (Base-Case)'!W48</f>
        <v>0</v>
      </c>
      <c r="X48" s="346">
        <f>'CFS (Bull-Case)'!X48-'CFS (Base-Case)'!X48</f>
        <v>-1.4746954412760971E-3</v>
      </c>
      <c r="Y48" s="346">
        <f>'CFS (Bull-Case)'!Y48-'CFS (Base-Case)'!Y48</f>
        <v>8.0918540329477651E-3</v>
      </c>
      <c r="Z48" s="346">
        <f>'CFS (Bull-Case)'!Z48-'CFS (Base-Case)'!Z48</f>
        <v>1.9600450169956929E-2</v>
      </c>
      <c r="AA48" s="346">
        <f>'CFS (Bull-Case)'!AA48-'CFS (Base-Case)'!AA48</f>
        <v>3.8529600782187146E-2</v>
      </c>
      <c r="AB48" s="347">
        <f>'CFS (Bull-Case)'!AB48-'CFS (Base-Case)'!AB48</f>
        <v>3.8576537912927478E-2</v>
      </c>
      <c r="AC48" s="346">
        <f>'CFS (Bull-Case)'!AC48-'CFS (Base-Case)'!AC48</f>
        <v>6.2886536671125981E-2</v>
      </c>
      <c r="AD48" s="346">
        <f>'CFS (Bull-Case)'!AD48-'CFS (Base-Case)'!AD48</f>
        <v>9.364350396449872E-2</v>
      </c>
      <c r="AE48" s="346">
        <f>'CFS (Bull-Case)'!AE48-'CFS (Base-Case)'!AE48</f>
        <v>0.13259069965502057</v>
      </c>
      <c r="AF48" s="346">
        <f>'CFS (Bull-Case)'!AF48-'CFS (Base-Case)'!AF48</f>
        <v>0.17703980966195587</v>
      </c>
      <c r="AG48" s="347">
        <f>'CFS (Bull-Case)'!AG48-'CFS (Base-Case)'!AG48</f>
        <v>0.1770351389455076</v>
      </c>
      <c r="AH48" s="346">
        <f>'CFS (Bull-Case)'!AH48-'CFS (Base-Case)'!AH48</f>
        <v>0.23067696003388694</v>
      </c>
      <c r="AI48" s="346">
        <f>'CFS (Bull-Case)'!AI48-'CFS (Base-Case)'!AI48</f>
        <v>0.28725054262971206</v>
      </c>
      <c r="AJ48" s="346">
        <f>'CFS (Bull-Case)'!AJ48-'CFS (Base-Case)'!AJ48</f>
        <v>1.8236688194095709</v>
      </c>
      <c r="AK48" s="346">
        <f>'CFS (Bull-Case)'!AK48-'CFS (Base-Case)'!AK48</f>
        <v>3.5239991111413058</v>
      </c>
      <c r="AL48" s="347">
        <f>'CFS (Bull-Case)'!AL48-'CFS (Base-Case)'!AL48</f>
        <v>3.1404066902814414</v>
      </c>
      <c r="AM48" s="346">
        <f>'CFS (Bull-Case)'!AM48-'CFS (Base-Case)'!AM48</f>
        <v>3.5777317958266845</v>
      </c>
      <c r="AN48" s="346">
        <f>'CFS (Bull-Case)'!AN48-'CFS (Base-Case)'!AN48</f>
        <v>3.6477696839481322</v>
      </c>
      <c r="AO48" s="346">
        <f>'CFS (Bull-Case)'!AO48-'CFS (Base-Case)'!AO48</f>
        <v>3.7144010917979351</v>
      </c>
      <c r="AP48" s="346">
        <f>'CFS (Bull-Case)'!AP48-'CFS (Base-Case)'!AP48</f>
        <v>3.7706370240296945</v>
      </c>
      <c r="AQ48" s="347">
        <f>'CFS (Bull-Case)'!AQ48-'CFS (Base-Case)'!AQ48</f>
        <v>3.7628681023076496</v>
      </c>
      <c r="AR48" s="346">
        <f>'CFS (Bull-Case)'!AR48-'CFS (Base-Case)'!AR48</f>
        <v>3.8109680350541328</v>
      </c>
      <c r="AS48" s="346">
        <f>'CFS (Bull-Case)'!AS48-'CFS (Base-Case)'!AS48</f>
        <v>3.8696482384277431</v>
      </c>
      <c r="AT48" s="346">
        <f>'CFS (Bull-Case)'!AT48-'CFS (Base-Case)'!AT48</f>
        <v>3.931569983688977</v>
      </c>
      <c r="AU48" s="346">
        <f>'CFS (Bull-Case)'!AU48-'CFS (Base-Case)'!AU48</f>
        <v>3.9904369073832182</v>
      </c>
      <c r="AV48" s="347">
        <f>'CFS (Bull-Case)'!AV48-'CFS (Base-Case)'!AV48</f>
        <v>3.9829375722171338</v>
      </c>
    </row>
    <row r="49" spans="2:48" x14ac:dyDescent="0.3">
      <c r="B49" s="484"/>
      <c r="C49" s="484"/>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348"/>
      <c r="AP49" s="348"/>
      <c r="AQ49" s="348"/>
      <c r="AR49" s="348"/>
      <c r="AS49" s="348"/>
      <c r="AT49" s="348"/>
      <c r="AU49" s="348"/>
      <c r="AV49" s="348"/>
    </row>
    <row r="50" spans="2:48" ht="15.6" x14ac:dyDescent="0.3">
      <c r="B50" s="433" t="s">
        <v>307</v>
      </c>
      <c r="C50" s="434"/>
      <c r="D50" s="13" t="s">
        <v>15</v>
      </c>
      <c r="E50" s="13" t="s">
        <v>82</v>
      </c>
      <c r="F50" s="13" t="s">
        <v>84</v>
      </c>
      <c r="G50" s="13" t="s">
        <v>147</v>
      </c>
      <c r="H50" s="39" t="s">
        <v>147</v>
      </c>
      <c r="I50" s="13" t="s">
        <v>146</v>
      </c>
      <c r="J50" s="13" t="s">
        <v>145</v>
      </c>
      <c r="K50" s="13" t="s">
        <v>144</v>
      </c>
      <c r="L50" s="13" t="s">
        <v>141</v>
      </c>
      <c r="M50" s="39" t="s">
        <v>141</v>
      </c>
      <c r="N50" s="13" t="s">
        <v>148</v>
      </c>
      <c r="O50" s="13" t="s">
        <v>156</v>
      </c>
      <c r="P50" s="13" t="s">
        <v>158</v>
      </c>
      <c r="Q50" s="13" t="s">
        <v>171</v>
      </c>
      <c r="R50" s="39" t="s">
        <v>171</v>
      </c>
      <c r="S50" s="13" t="s">
        <v>187</v>
      </c>
      <c r="T50" s="13" t="s">
        <v>190</v>
      </c>
      <c r="U50" s="13" t="s">
        <v>203</v>
      </c>
      <c r="V50" s="15" t="s">
        <v>20</v>
      </c>
      <c r="W50" s="41" t="s">
        <v>20</v>
      </c>
      <c r="X50" s="15" t="s">
        <v>21</v>
      </c>
      <c r="Y50" s="15" t="s">
        <v>22</v>
      </c>
      <c r="Z50" s="15" t="s">
        <v>23</v>
      </c>
      <c r="AA50" s="15" t="s">
        <v>24</v>
      </c>
      <c r="AB50" s="41" t="s">
        <v>24</v>
      </c>
      <c r="AC50" s="15" t="s">
        <v>86</v>
      </c>
      <c r="AD50" s="15" t="s">
        <v>87</v>
      </c>
      <c r="AE50" s="15" t="s">
        <v>88</v>
      </c>
      <c r="AF50" s="15" t="s">
        <v>89</v>
      </c>
      <c r="AG50" s="41" t="s">
        <v>89</v>
      </c>
      <c r="AH50" s="15" t="s">
        <v>105</v>
      </c>
      <c r="AI50" s="15" t="s">
        <v>106</v>
      </c>
      <c r="AJ50" s="15" t="s">
        <v>107</v>
      </c>
      <c r="AK50" s="15" t="s">
        <v>108</v>
      </c>
      <c r="AL50" s="41" t="s">
        <v>108</v>
      </c>
      <c r="AM50" s="15" t="s">
        <v>160</v>
      </c>
      <c r="AN50" s="15" t="s">
        <v>161</v>
      </c>
      <c r="AO50" s="15" t="s">
        <v>162</v>
      </c>
      <c r="AP50" s="15" t="s">
        <v>163</v>
      </c>
      <c r="AQ50" s="41" t="s">
        <v>163</v>
      </c>
      <c r="AR50" s="15" t="s">
        <v>191</v>
      </c>
      <c r="AS50" s="15" t="s">
        <v>192</v>
      </c>
      <c r="AT50" s="15" t="s">
        <v>193</v>
      </c>
      <c r="AU50" s="15" t="s">
        <v>194</v>
      </c>
      <c r="AV50" s="41" t="s">
        <v>194</v>
      </c>
    </row>
    <row r="51" spans="2:48" ht="16.2" x14ac:dyDescent="0.45">
      <c r="B51" s="467"/>
      <c r="C51" s="468"/>
      <c r="D51" s="14" t="s">
        <v>19</v>
      </c>
      <c r="E51" s="14" t="s">
        <v>81</v>
      </c>
      <c r="F51" s="14" t="s">
        <v>85</v>
      </c>
      <c r="G51" s="14" t="s">
        <v>95</v>
      </c>
      <c r="H51" s="40" t="s">
        <v>96</v>
      </c>
      <c r="I51" s="14" t="s">
        <v>97</v>
      </c>
      <c r="J51" s="14" t="s">
        <v>98</v>
      </c>
      <c r="K51" s="14" t="s">
        <v>99</v>
      </c>
      <c r="L51" s="14" t="s">
        <v>142</v>
      </c>
      <c r="M51" s="40" t="s">
        <v>143</v>
      </c>
      <c r="N51" s="14" t="s">
        <v>149</v>
      </c>
      <c r="O51" s="14" t="s">
        <v>157</v>
      </c>
      <c r="P51" s="14" t="s">
        <v>159</v>
      </c>
      <c r="Q51" s="14" t="s">
        <v>172</v>
      </c>
      <c r="R51" s="40" t="s">
        <v>173</v>
      </c>
      <c r="S51" s="14" t="s">
        <v>188</v>
      </c>
      <c r="T51" s="14" t="s">
        <v>189</v>
      </c>
      <c r="U51" s="14" t="s">
        <v>204</v>
      </c>
      <c r="V51" s="12" t="s">
        <v>25</v>
      </c>
      <c r="W51" s="42" t="s">
        <v>26</v>
      </c>
      <c r="X51" s="12" t="s">
        <v>27</v>
      </c>
      <c r="Y51" s="12" t="s">
        <v>28</v>
      </c>
      <c r="Z51" s="12" t="s">
        <v>29</v>
      </c>
      <c r="AA51" s="12" t="s">
        <v>30</v>
      </c>
      <c r="AB51" s="42" t="s">
        <v>31</v>
      </c>
      <c r="AC51" s="12" t="s">
        <v>90</v>
      </c>
      <c r="AD51" s="12" t="s">
        <v>91</v>
      </c>
      <c r="AE51" s="12" t="s">
        <v>92</v>
      </c>
      <c r="AF51" s="12" t="s">
        <v>93</v>
      </c>
      <c r="AG51" s="42" t="s">
        <v>94</v>
      </c>
      <c r="AH51" s="12" t="s">
        <v>109</v>
      </c>
      <c r="AI51" s="12" t="s">
        <v>110</v>
      </c>
      <c r="AJ51" s="12" t="s">
        <v>111</v>
      </c>
      <c r="AK51" s="12" t="s">
        <v>112</v>
      </c>
      <c r="AL51" s="42" t="s">
        <v>113</v>
      </c>
      <c r="AM51" s="12" t="s">
        <v>164</v>
      </c>
      <c r="AN51" s="12" t="s">
        <v>165</v>
      </c>
      <c r="AO51" s="12" t="s">
        <v>166</v>
      </c>
      <c r="AP51" s="12" t="s">
        <v>167</v>
      </c>
      <c r="AQ51" s="42" t="s">
        <v>168</v>
      </c>
      <c r="AR51" s="12" t="s">
        <v>195</v>
      </c>
      <c r="AS51" s="12" t="s">
        <v>196</v>
      </c>
      <c r="AT51" s="12" t="s">
        <v>197</v>
      </c>
      <c r="AU51" s="12" t="s">
        <v>198</v>
      </c>
      <c r="AV51" s="42" t="s">
        <v>199</v>
      </c>
    </row>
    <row r="52" spans="2:48" ht="16.2" outlineLevel="1" x14ac:dyDescent="0.45">
      <c r="B52" s="457" t="s">
        <v>308</v>
      </c>
      <c r="C52" s="458"/>
      <c r="D52" s="349"/>
      <c r="E52" s="349"/>
      <c r="F52" s="349"/>
      <c r="G52" s="349"/>
      <c r="H52" s="350"/>
      <c r="I52" s="349"/>
      <c r="J52" s="349"/>
      <c r="K52" s="349"/>
      <c r="L52" s="349"/>
      <c r="M52" s="350"/>
      <c r="N52" s="349"/>
      <c r="O52" s="349"/>
      <c r="P52" s="349"/>
      <c r="Q52" s="349"/>
      <c r="R52" s="350"/>
      <c r="S52" s="349"/>
      <c r="T52" s="349"/>
      <c r="U52" s="349"/>
      <c r="V52" s="349"/>
      <c r="W52" s="350"/>
      <c r="X52" s="349"/>
      <c r="Y52" s="349"/>
      <c r="Z52" s="349"/>
      <c r="AA52" s="349"/>
      <c r="AB52" s="350"/>
      <c r="AC52" s="349"/>
      <c r="AD52" s="349"/>
      <c r="AE52" s="349"/>
      <c r="AF52" s="349"/>
      <c r="AG52" s="350"/>
      <c r="AH52" s="349"/>
      <c r="AI52" s="349"/>
      <c r="AJ52" s="349"/>
      <c r="AK52" s="349"/>
      <c r="AL52" s="350"/>
      <c r="AM52" s="349"/>
      <c r="AN52" s="349"/>
      <c r="AO52" s="349"/>
      <c r="AP52" s="349"/>
      <c r="AQ52" s="350"/>
      <c r="AR52" s="349"/>
      <c r="AS52" s="349"/>
      <c r="AT52" s="349"/>
      <c r="AU52" s="349"/>
      <c r="AV52" s="350"/>
    </row>
    <row r="53" spans="2:48" s="23" customFormat="1" outlineLevel="1" x14ac:dyDescent="0.3">
      <c r="B53" s="200" t="s">
        <v>309</v>
      </c>
      <c r="C53" s="201"/>
      <c r="D53" s="351">
        <f>'CFS (Bull-Case)'!D53-'CFS (Base-Case)'!D53</f>
        <v>0</v>
      </c>
      <c r="E53" s="281">
        <f>'CFS (Bull-Case)'!E53-'CFS (Base-Case)'!E53</f>
        <v>0</v>
      </c>
      <c r="F53" s="113">
        <f>'CFS (Bull-Case)'!F53-'CFS (Base-Case)'!F53</f>
        <v>0</v>
      </c>
      <c r="G53" s="113">
        <f>'CFS (Bull-Case)'!G53-'CFS (Base-Case)'!G53</f>
        <v>0</v>
      </c>
      <c r="H53" s="125">
        <f>'CFS (Bull-Case)'!H53-'CFS (Base-Case)'!H53</f>
        <v>0</v>
      </c>
      <c r="I53" s="113">
        <f>'CFS (Bull-Case)'!I53-'CFS (Base-Case)'!I53</f>
        <v>0</v>
      </c>
      <c r="J53" s="113">
        <f>'CFS (Bull-Case)'!J53-'CFS (Base-Case)'!J53</f>
        <v>0</v>
      </c>
      <c r="K53" s="113">
        <f>'CFS (Bull-Case)'!K53-'CFS (Base-Case)'!K53</f>
        <v>0</v>
      </c>
      <c r="L53" s="113">
        <f>'CFS (Bull-Case)'!L53-'CFS (Base-Case)'!L53</f>
        <v>0</v>
      </c>
      <c r="M53" s="282">
        <f>'CFS (Bull-Case)'!M53-'CFS (Base-Case)'!M53</f>
        <v>0</v>
      </c>
      <c r="N53" s="113">
        <f>'CFS (Bull-Case)'!N53-'CFS (Base-Case)'!N53</f>
        <v>0</v>
      </c>
      <c r="O53" s="113">
        <f>'CFS (Bull-Case)'!O53-'CFS (Base-Case)'!O53</f>
        <v>0</v>
      </c>
      <c r="P53" s="113">
        <f>'CFS (Bull-Case)'!P53-'CFS (Base-Case)'!P53</f>
        <v>0</v>
      </c>
      <c r="Q53" s="113">
        <f>'CFS (Bull-Case)'!Q53-'CFS (Base-Case)'!Q53</f>
        <v>0</v>
      </c>
      <c r="R53" s="282">
        <f>'CFS (Bull-Case)'!R53-'CFS (Base-Case)'!R53</f>
        <v>0</v>
      </c>
      <c r="S53" s="113">
        <f>'CFS (Bull-Case)'!S53-'CFS (Base-Case)'!S53</f>
        <v>0</v>
      </c>
      <c r="T53" s="113">
        <f>'CFS (Bull-Case)'!T53-'CFS (Base-Case)'!T53</f>
        <v>0</v>
      </c>
      <c r="U53" s="113">
        <f>'CFS (Bull-Case)'!U53-'CFS (Base-Case)'!U53</f>
        <v>0</v>
      </c>
      <c r="V53" s="35">
        <f>'CFS (Bull-Case)'!V53-'CFS (Base-Case)'!V53</f>
        <v>0</v>
      </c>
      <c r="W53" s="282">
        <f>'CFS (Bull-Case)'!W53-'CFS (Base-Case)'!W53</f>
        <v>0</v>
      </c>
      <c r="X53" s="35">
        <f>'CFS (Bull-Case)'!X53-'CFS (Base-Case)'!X53</f>
        <v>0</v>
      </c>
      <c r="Y53" s="35">
        <f>'CFS (Bull-Case)'!Y53-'CFS (Base-Case)'!Y53</f>
        <v>0</v>
      </c>
      <c r="Z53" s="35">
        <f>'CFS (Bull-Case)'!Z53-'CFS (Base-Case)'!Z53</f>
        <v>0</v>
      </c>
      <c r="AA53" s="35">
        <f>'CFS (Bull-Case)'!AA53-'CFS (Base-Case)'!AA53</f>
        <v>0</v>
      </c>
      <c r="AB53" s="282">
        <f>'CFS (Bull-Case)'!AB53-'CFS (Base-Case)'!AB53</f>
        <v>0</v>
      </c>
      <c r="AC53" s="35">
        <f>'CFS (Bull-Case)'!AC53-'CFS (Base-Case)'!AC53</f>
        <v>0</v>
      </c>
      <c r="AD53" s="35">
        <f>'CFS (Bull-Case)'!AD53-'CFS (Base-Case)'!AD53</f>
        <v>0</v>
      </c>
      <c r="AE53" s="35">
        <f>'CFS (Bull-Case)'!AE53-'CFS (Base-Case)'!AE53</f>
        <v>0</v>
      </c>
      <c r="AF53" s="35">
        <f>'CFS (Bull-Case)'!AF53-'CFS (Base-Case)'!AF53</f>
        <v>0</v>
      </c>
      <c r="AG53" s="282">
        <f>'CFS (Bull-Case)'!AG53-'CFS (Base-Case)'!AG53</f>
        <v>0</v>
      </c>
      <c r="AH53" s="35">
        <f>'CFS (Bull-Case)'!AH53-'CFS (Base-Case)'!AH53</f>
        <v>0</v>
      </c>
      <c r="AI53" s="35">
        <f>'CFS (Bull-Case)'!AI53-'CFS (Base-Case)'!AI53</f>
        <v>0</v>
      </c>
      <c r="AJ53" s="35">
        <f>'CFS (Bull-Case)'!AJ53-'CFS (Base-Case)'!AJ53</f>
        <v>0</v>
      </c>
      <c r="AK53" s="35">
        <f>'CFS (Bull-Case)'!AK53-'CFS (Base-Case)'!AK53</f>
        <v>0</v>
      </c>
      <c r="AL53" s="282">
        <f>'CFS (Bull-Case)'!AL53-'CFS (Base-Case)'!AL53</f>
        <v>0</v>
      </c>
      <c r="AM53" s="35">
        <f>'CFS (Bull-Case)'!AM53-'CFS (Base-Case)'!AM53</f>
        <v>0</v>
      </c>
      <c r="AN53" s="35">
        <f>'CFS (Bull-Case)'!AN53-'CFS (Base-Case)'!AN53</f>
        <v>0</v>
      </c>
      <c r="AO53" s="35">
        <f>'CFS (Bull-Case)'!AO53-'CFS (Base-Case)'!AO53</f>
        <v>0</v>
      </c>
      <c r="AP53" s="35">
        <f>'CFS (Bull-Case)'!AP53-'CFS (Base-Case)'!AP53</f>
        <v>0</v>
      </c>
      <c r="AQ53" s="282">
        <f>'CFS (Bull-Case)'!AQ53-'CFS (Base-Case)'!AQ53</f>
        <v>0</v>
      </c>
      <c r="AR53" s="35">
        <f>'CFS (Bull-Case)'!AR53-'CFS (Base-Case)'!AR53</f>
        <v>0</v>
      </c>
      <c r="AS53" s="35">
        <f>'CFS (Bull-Case)'!AS53-'CFS (Base-Case)'!AS53</f>
        <v>0</v>
      </c>
      <c r="AT53" s="35">
        <f>'CFS (Bull-Case)'!AT53-'CFS (Base-Case)'!AT53</f>
        <v>0</v>
      </c>
      <c r="AU53" s="35">
        <f>'CFS (Bull-Case)'!AU53-'CFS (Base-Case)'!AU53</f>
        <v>0</v>
      </c>
      <c r="AV53" s="282">
        <f>'CFS (Bull-Case)'!AV53-'CFS (Base-Case)'!AV53</f>
        <v>0</v>
      </c>
    </row>
    <row r="54" spans="2:48" s="23" customFormat="1" outlineLevel="1" x14ac:dyDescent="0.3">
      <c r="B54" s="200" t="s">
        <v>310</v>
      </c>
      <c r="C54" s="201"/>
      <c r="D54" s="351">
        <f>'CFS (Bull-Case)'!D54-'CFS (Base-Case)'!D54</f>
        <v>0</v>
      </c>
      <c r="E54" s="351">
        <f>'CFS (Bull-Case)'!E54-'CFS (Base-Case)'!E54</f>
        <v>0</v>
      </c>
      <c r="F54" s="113">
        <f>'CFS (Bull-Case)'!F54-'CFS (Base-Case)'!F54</f>
        <v>0</v>
      </c>
      <c r="G54" s="113">
        <f>'CFS (Bull-Case)'!G54-'CFS (Base-Case)'!G54</f>
        <v>0</v>
      </c>
      <c r="H54" s="125">
        <f>'CFS (Bull-Case)'!H54-'CFS (Base-Case)'!H54</f>
        <v>0</v>
      </c>
      <c r="I54" s="113">
        <f>'CFS (Bull-Case)'!I54-'CFS (Base-Case)'!I54</f>
        <v>0</v>
      </c>
      <c r="J54" s="113">
        <f>'CFS (Bull-Case)'!J54-'CFS (Base-Case)'!J54</f>
        <v>0</v>
      </c>
      <c r="K54" s="113">
        <f>'CFS (Bull-Case)'!K54-'CFS (Base-Case)'!K54</f>
        <v>0</v>
      </c>
      <c r="L54" s="113">
        <f>'CFS (Bull-Case)'!L54-'CFS (Base-Case)'!L54</f>
        <v>0</v>
      </c>
      <c r="M54" s="282">
        <f>'CFS (Bull-Case)'!M54-'CFS (Base-Case)'!M54</f>
        <v>0</v>
      </c>
      <c r="N54" s="113">
        <f>'CFS (Bull-Case)'!N54-'CFS (Base-Case)'!N54</f>
        <v>0</v>
      </c>
      <c r="O54" s="113">
        <f>'CFS (Bull-Case)'!O54-'CFS (Base-Case)'!O54</f>
        <v>0</v>
      </c>
      <c r="P54" s="113">
        <f>'CFS (Bull-Case)'!P54-'CFS (Base-Case)'!P54</f>
        <v>0</v>
      </c>
      <c r="Q54" s="113">
        <f>'CFS (Bull-Case)'!Q54-'CFS (Base-Case)'!Q54</f>
        <v>0</v>
      </c>
      <c r="R54" s="282">
        <f>'CFS (Bull-Case)'!R54-'CFS (Base-Case)'!R54</f>
        <v>0</v>
      </c>
      <c r="S54" s="113">
        <f>'CFS (Bull-Case)'!S54-'CFS (Base-Case)'!S54</f>
        <v>0</v>
      </c>
      <c r="T54" s="113">
        <f>'CFS (Bull-Case)'!T54-'CFS (Base-Case)'!T54</f>
        <v>0</v>
      </c>
      <c r="U54" s="113">
        <f>'CFS (Bull-Case)'!U54-'CFS (Base-Case)'!U54</f>
        <v>0</v>
      </c>
      <c r="V54" s="35">
        <f>'CFS (Bull-Case)'!V54-'CFS (Base-Case)'!V54</f>
        <v>0</v>
      </c>
      <c r="W54" s="282">
        <f>'CFS (Bull-Case)'!W54-'CFS (Base-Case)'!W54</f>
        <v>0</v>
      </c>
      <c r="X54" s="35">
        <f>'CFS (Bull-Case)'!X54-'CFS (Base-Case)'!X54</f>
        <v>0</v>
      </c>
      <c r="Y54" s="35">
        <f>'CFS (Bull-Case)'!Y54-'CFS (Base-Case)'!Y54</f>
        <v>0</v>
      </c>
      <c r="Z54" s="35">
        <f>'CFS (Bull-Case)'!Z54-'CFS (Base-Case)'!Z54</f>
        <v>0</v>
      </c>
      <c r="AA54" s="35">
        <f>'CFS (Bull-Case)'!AA54-'CFS (Base-Case)'!AA54</f>
        <v>0</v>
      </c>
      <c r="AB54" s="282">
        <f>'CFS (Bull-Case)'!AB54-'CFS (Base-Case)'!AB54</f>
        <v>0</v>
      </c>
      <c r="AC54" s="35">
        <f>'CFS (Bull-Case)'!AC54-'CFS (Base-Case)'!AC54</f>
        <v>0</v>
      </c>
      <c r="AD54" s="35">
        <f>'CFS (Bull-Case)'!AD54-'CFS (Base-Case)'!AD54</f>
        <v>0</v>
      </c>
      <c r="AE54" s="35">
        <f>'CFS (Bull-Case)'!AE54-'CFS (Base-Case)'!AE54</f>
        <v>0</v>
      </c>
      <c r="AF54" s="35">
        <f>'CFS (Bull-Case)'!AF54-'CFS (Base-Case)'!AF54</f>
        <v>0</v>
      </c>
      <c r="AG54" s="282">
        <f>'CFS (Bull-Case)'!AG54-'CFS (Base-Case)'!AG54</f>
        <v>0</v>
      </c>
      <c r="AH54" s="35">
        <f>'CFS (Bull-Case)'!AH54-'CFS (Base-Case)'!AH54</f>
        <v>0</v>
      </c>
      <c r="AI54" s="35">
        <f>'CFS (Bull-Case)'!AI54-'CFS (Base-Case)'!AI54</f>
        <v>0</v>
      </c>
      <c r="AJ54" s="35">
        <f>'CFS (Bull-Case)'!AJ54-'CFS (Base-Case)'!AJ54</f>
        <v>0</v>
      </c>
      <c r="AK54" s="35">
        <f>'CFS (Bull-Case)'!AK54-'CFS (Base-Case)'!AK54</f>
        <v>0</v>
      </c>
      <c r="AL54" s="282">
        <f>'CFS (Bull-Case)'!AL54-'CFS (Base-Case)'!AL54</f>
        <v>0</v>
      </c>
      <c r="AM54" s="35">
        <f>'CFS (Bull-Case)'!AM54-'CFS (Base-Case)'!AM54</f>
        <v>0</v>
      </c>
      <c r="AN54" s="35">
        <f>'CFS (Bull-Case)'!AN54-'CFS (Base-Case)'!AN54</f>
        <v>0</v>
      </c>
      <c r="AO54" s="35">
        <f>'CFS (Bull-Case)'!AO54-'CFS (Base-Case)'!AO54</f>
        <v>0</v>
      </c>
      <c r="AP54" s="35">
        <f>'CFS (Bull-Case)'!AP54-'CFS (Base-Case)'!AP54</f>
        <v>0</v>
      </c>
      <c r="AQ54" s="282">
        <f>'CFS (Bull-Case)'!AQ54-'CFS (Base-Case)'!AQ54</f>
        <v>0</v>
      </c>
      <c r="AR54" s="35">
        <f>'CFS (Bull-Case)'!AR54-'CFS (Base-Case)'!AR54</f>
        <v>0</v>
      </c>
      <c r="AS54" s="35">
        <f>'CFS (Bull-Case)'!AS54-'CFS (Base-Case)'!AS54</f>
        <v>0</v>
      </c>
      <c r="AT54" s="35">
        <f>'CFS (Bull-Case)'!AT54-'CFS (Base-Case)'!AT54</f>
        <v>0</v>
      </c>
      <c r="AU54" s="35">
        <f>'CFS (Bull-Case)'!AU54-'CFS (Base-Case)'!AU54</f>
        <v>0</v>
      </c>
      <c r="AV54" s="282">
        <f>'CFS (Bull-Case)'!AV54-'CFS (Base-Case)'!AV54</f>
        <v>0</v>
      </c>
    </row>
    <row r="55" spans="2:48" s="23" customFormat="1" outlineLevel="1" x14ac:dyDescent="0.3">
      <c r="B55" s="435" t="s">
        <v>311</v>
      </c>
      <c r="C55" s="436"/>
      <c r="D55" s="352">
        <f>'CFS (Bull-Case)'!D55-'CFS (Base-Case)'!D55</f>
        <v>0</v>
      </c>
      <c r="E55" s="352">
        <f>'CFS (Bull-Case)'!E55-'CFS (Base-Case)'!E55</f>
        <v>0</v>
      </c>
      <c r="F55" s="352">
        <f>'CFS (Bull-Case)'!F55-'CFS (Base-Case)'!F55</f>
        <v>0</v>
      </c>
      <c r="G55" s="352">
        <f>'CFS (Bull-Case)'!G55-'CFS (Base-Case)'!G55</f>
        <v>0</v>
      </c>
      <c r="H55" s="353">
        <f>'CFS (Bull-Case)'!H55-'CFS (Base-Case)'!H55</f>
        <v>0</v>
      </c>
      <c r="I55" s="352">
        <f>'CFS (Bull-Case)'!I55-'CFS (Base-Case)'!I55</f>
        <v>0</v>
      </c>
      <c r="J55" s="352">
        <f>'CFS (Bull-Case)'!J55-'CFS (Base-Case)'!J55</f>
        <v>0</v>
      </c>
      <c r="K55" s="352">
        <f>'CFS (Bull-Case)'!K55-'CFS (Base-Case)'!K55</f>
        <v>0</v>
      </c>
      <c r="L55" s="352">
        <f>'CFS (Bull-Case)'!L55-'CFS (Base-Case)'!L55</f>
        <v>0</v>
      </c>
      <c r="M55" s="353">
        <f>'CFS (Bull-Case)'!M55-'CFS (Base-Case)'!M55</f>
        <v>0</v>
      </c>
      <c r="N55" s="352">
        <f>'CFS (Bull-Case)'!N55-'CFS (Base-Case)'!N55</f>
        <v>0</v>
      </c>
      <c r="O55" s="352">
        <f>'CFS (Bull-Case)'!O55-'CFS (Base-Case)'!O55</f>
        <v>0</v>
      </c>
      <c r="P55" s="352">
        <f>'CFS (Bull-Case)'!P55-'CFS (Base-Case)'!P55</f>
        <v>0</v>
      </c>
      <c r="Q55" s="352">
        <f>'CFS (Bull-Case)'!Q55-'CFS (Base-Case)'!Q55</f>
        <v>0</v>
      </c>
      <c r="R55" s="353">
        <f>'CFS (Bull-Case)'!R55-'CFS (Base-Case)'!R55</f>
        <v>0</v>
      </c>
      <c r="S55" s="352">
        <f>'CFS (Bull-Case)'!S55-'CFS (Base-Case)'!S55</f>
        <v>0</v>
      </c>
      <c r="T55" s="352">
        <f>'CFS (Bull-Case)'!T55-'CFS (Base-Case)'!T55</f>
        <v>0</v>
      </c>
      <c r="U55" s="352">
        <f>'CFS (Bull-Case)'!U55-'CFS (Base-Case)'!U55</f>
        <v>0</v>
      </c>
      <c r="V55" s="352">
        <f>'CFS (Bull-Case)'!V55-'CFS (Base-Case)'!V55</f>
        <v>0</v>
      </c>
      <c r="W55" s="353">
        <f>'CFS (Bull-Case)'!W55-'CFS (Base-Case)'!W55</f>
        <v>0</v>
      </c>
      <c r="X55" s="352">
        <f>'CFS (Bull-Case)'!X55-'CFS (Base-Case)'!X55</f>
        <v>-5.0738621484125446E-4</v>
      </c>
      <c r="Y55" s="352">
        <f>'CFS (Bull-Case)'!Y55-'CFS (Base-Case)'!Y55</f>
        <v>7.0123647439953807E-2</v>
      </c>
      <c r="Z55" s="352">
        <f>'CFS (Bull-Case)'!Z55-'CFS (Base-Case)'!Z55</f>
        <v>1.0976666842972382E-2</v>
      </c>
      <c r="AA55" s="352">
        <f>'CFS (Bull-Case)'!AA55-'CFS (Base-Case)'!AA55</f>
        <v>1.6512502826399711E-2</v>
      </c>
      <c r="AB55" s="353">
        <f>'CFS (Bull-Case)'!AB55-'CFS (Base-Case)'!AB55</f>
        <v>1.0004274420718495E-2</v>
      </c>
      <c r="AC55" s="352">
        <f>'CFS (Bull-Case)'!AC55-'CFS (Base-Case)'!AC55</f>
        <v>1.8339633187690163E-2</v>
      </c>
      <c r="AD55" s="352">
        <f>'CFS (Bull-Case)'!AD55-'CFS (Base-Case)'!AD55</f>
        <v>2.9166476777013006E-2</v>
      </c>
      <c r="AE55" s="352">
        <f>'CFS (Bull-Case)'!AE55-'CFS (Base-Case)'!AE55</f>
        <v>2.5587228147626151E-2</v>
      </c>
      <c r="AF55" s="352">
        <f>'CFS (Bull-Case)'!AF55-'CFS (Base-Case)'!AF55</f>
        <v>1.5534561575284878E-2</v>
      </c>
      <c r="AG55" s="353">
        <f>'CFS (Bull-Case)'!AG55-'CFS (Base-Case)'!AG55</f>
        <v>2.0152106875147791E-2</v>
      </c>
      <c r="AH55" s="352">
        <f>'CFS (Bull-Case)'!AH55-'CFS (Base-Case)'!AH55</f>
        <v>1.4853849871232505E-2</v>
      </c>
      <c r="AI55" s="352">
        <f>'CFS (Bull-Case)'!AI55-'CFS (Base-Case)'!AI55</f>
        <v>2.4835640498375833E-2</v>
      </c>
      <c r="AJ55" s="352">
        <f>'CFS (Bull-Case)'!AJ55-'CFS (Base-Case)'!AJ55</f>
        <v>2.0173232896766091E-2</v>
      </c>
      <c r="AK55" s="352">
        <f>'CFS (Bull-Case)'!AK55-'CFS (Base-Case)'!AK55</f>
        <v>2.3218098356663885E-2</v>
      </c>
      <c r="AL55" s="353">
        <f>'CFS (Bull-Case)'!AL55-'CFS (Base-Case)'!AL55</f>
        <v>2.0198018635119164E-2</v>
      </c>
      <c r="AM55" s="352">
        <f>'CFS (Bull-Case)'!AM55-'CFS (Base-Case)'!AM55</f>
        <v>1.6410980297961286E-2</v>
      </c>
      <c r="AN55" s="352">
        <f>'CFS (Bull-Case)'!AN55-'CFS (Base-Case)'!AN55</f>
        <v>1.7573818882462344E-2</v>
      </c>
      <c r="AO55" s="352">
        <f>'CFS (Bull-Case)'!AO55-'CFS (Base-Case)'!AO55</f>
        <v>1.3027925011177555E-2</v>
      </c>
      <c r="AP55" s="352">
        <f>'CFS (Bull-Case)'!AP55-'CFS (Base-Case)'!AP55</f>
        <v>3.8024589179479484E-3</v>
      </c>
      <c r="AQ55" s="353">
        <f>'CFS (Bull-Case)'!AQ55-'CFS (Base-Case)'!AQ55</f>
        <v>1.185347769479117E-2</v>
      </c>
      <c r="AR55" s="352">
        <f>'CFS (Bull-Case)'!AR55-'CFS (Base-Case)'!AR55</f>
        <v>-8.1786919857540497E-4</v>
      </c>
      <c r="AS55" s="352">
        <f>'CFS (Bull-Case)'!AS55-'CFS (Base-Case)'!AS55</f>
        <v>-1.8493687869836073E-3</v>
      </c>
      <c r="AT55" s="352">
        <f>'CFS (Bull-Case)'!AT55-'CFS (Base-Case)'!AT55</f>
        <v>-1.9506992421762792E-3</v>
      </c>
      <c r="AU55" s="352">
        <f>'CFS (Bull-Case)'!AU55-'CFS (Base-Case)'!AU55</f>
        <v>-2.1262926350851252E-4</v>
      </c>
      <c r="AV55" s="353">
        <f>'CFS (Bull-Case)'!AV55-'CFS (Base-Case)'!AV55</f>
        <v>-9.8400359635641976E-4</v>
      </c>
    </row>
    <row r="56" spans="2:48" outlineLevel="1" x14ac:dyDescent="0.3">
      <c r="B56" s="200" t="s">
        <v>312</v>
      </c>
      <c r="C56" s="356"/>
      <c r="D56" s="351">
        <f>'CFS (Bull-Case)'!D56-'CFS (Base-Case)'!D56</f>
        <v>0</v>
      </c>
      <c r="E56" s="351">
        <f>'CFS (Bull-Case)'!E56-'CFS (Base-Case)'!E56</f>
        <v>0</v>
      </c>
      <c r="F56" s="113">
        <f>'CFS (Bull-Case)'!F56-'CFS (Base-Case)'!F56</f>
        <v>0</v>
      </c>
      <c r="G56" s="113">
        <f>'CFS (Bull-Case)'!G56-'CFS (Base-Case)'!G56</f>
        <v>0</v>
      </c>
      <c r="H56" s="363">
        <f>'CFS (Bull-Case)'!H56-'CFS (Base-Case)'!H56</f>
        <v>0</v>
      </c>
      <c r="I56" s="354">
        <f>'CFS (Bull-Case)'!I56-'CFS (Base-Case)'!I56</f>
        <v>0</v>
      </c>
      <c r="J56" s="118">
        <f>'CFS (Bull-Case)'!J56-'CFS (Base-Case)'!J56</f>
        <v>0</v>
      </c>
      <c r="K56" s="118">
        <f>'CFS (Bull-Case)'!K56-'CFS (Base-Case)'!K56</f>
        <v>0</v>
      </c>
      <c r="L56" s="113">
        <f>'CFS (Bull-Case)'!L56-'CFS (Base-Case)'!L56</f>
        <v>0</v>
      </c>
      <c r="M56" s="353">
        <f>'CFS (Bull-Case)'!M56-'CFS (Base-Case)'!M56</f>
        <v>0</v>
      </c>
      <c r="N56" s="354">
        <f>'CFS (Bull-Case)'!N56-'CFS (Base-Case)'!N56</f>
        <v>0</v>
      </c>
      <c r="O56" s="118">
        <f>'CFS (Bull-Case)'!O56-'CFS (Base-Case)'!O56</f>
        <v>0</v>
      </c>
      <c r="P56" s="118">
        <f>'CFS (Bull-Case)'!P56-'CFS (Base-Case)'!P56</f>
        <v>0</v>
      </c>
      <c r="Q56" s="118">
        <f>'CFS (Bull-Case)'!Q56-'CFS (Base-Case)'!Q56</f>
        <v>0</v>
      </c>
      <c r="R56" s="353">
        <f>'CFS (Bull-Case)'!R56-'CFS (Base-Case)'!R56</f>
        <v>0</v>
      </c>
      <c r="S56" s="354">
        <f>'CFS (Bull-Case)'!S56-'CFS (Base-Case)'!S56</f>
        <v>0</v>
      </c>
      <c r="T56" s="118">
        <f>'CFS (Bull-Case)'!T56-'CFS (Base-Case)'!T56</f>
        <v>0</v>
      </c>
      <c r="U56" s="118">
        <f>'CFS (Bull-Case)'!U56-'CFS (Base-Case)'!U56</f>
        <v>0</v>
      </c>
      <c r="V56" s="35">
        <f>'CFS (Bull-Case)'!V56-'CFS (Base-Case)'!V56</f>
        <v>0</v>
      </c>
      <c r="W56" s="353">
        <f>'CFS (Bull-Case)'!W56-'CFS (Base-Case)'!W56</f>
        <v>0</v>
      </c>
      <c r="X56" s="355">
        <f>'CFS (Bull-Case)'!X56-'CFS (Base-Case)'!X56</f>
        <v>-7.6608778032734304E-4</v>
      </c>
      <c r="Y56" s="355">
        <f>'CFS (Bull-Case)'!Y56-'CFS (Base-Case)'!Y56</f>
        <v>-7.6608778032734304E-4</v>
      </c>
      <c r="Z56" s="355">
        <f>'CFS (Bull-Case)'!Z56-'CFS (Base-Case)'!Z56</f>
        <v>-7.6608778032734304E-4</v>
      </c>
      <c r="AA56" s="355">
        <f>'CFS (Bull-Case)'!AA56-'CFS (Base-Case)'!AA56</f>
        <v>-7.6608778032734304E-4</v>
      </c>
      <c r="AB56" s="353">
        <f>'CFS (Bull-Case)'!AB56-'CFS (Base-Case)'!AB56</f>
        <v>-7.6608778032734304E-4</v>
      </c>
      <c r="AC56" s="355">
        <f>'CFS (Bull-Case)'!AC56-'CFS (Base-Case)'!AC56</f>
        <v>-1.3581614568886624E-3</v>
      </c>
      <c r="AD56" s="35">
        <f>'CFS (Bull-Case)'!AD56-'CFS (Base-Case)'!AD56</f>
        <v>-1.3581614568886624E-3</v>
      </c>
      <c r="AE56" s="35">
        <f>'CFS (Bull-Case)'!AE56-'CFS (Base-Case)'!AE56</f>
        <v>-1.3581614568886624E-3</v>
      </c>
      <c r="AF56" s="35">
        <f>'CFS (Bull-Case)'!AF56-'CFS (Base-Case)'!AF56</f>
        <v>-1.3581614568886624E-3</v>
      </c>
      <c r="AG56" s="353">
        <f>'CFS (Bull-Case)'!AG56-'CFS (Base-Case)'!AG56</f>
        <v>-1.3581614568886624E-3</v>
      </c>
      <c r="AH56" s="355">
        <f>'CFS (Bull-Case)'!AH56-'CFS (Base-Case)'!AH56</f>
        <v>-1.7947176673604043E-3</v>
      </c>
      <c r="AI56" s="35">
        <f>'CFS (Bull-Case)'!AI56-'CFS (Base-Case)'!AI56</f>
        <v>-1.7947176673604043E-3</v>
      </c>
      <c r="AJ56" s="35">
        <f>'CFS (Bull-Case)'!AJ56-'CFS (Base-Case)'!AJ56</f>
        <v>-1.7947176673604043E-3</v>
      </c>
      <c r="AK56" s="35">
        <f>'CFS (Bull-Case)'!AK56-'CFS (Base-Case)'!AK56</f>
        <v>-1.7947176673604043E-3</v>
      </c>
      <c r="AL56" s="353">
        <f>'CFS (Bull-Case)'!AL56-'CFS (Base-Case)'!AL56</f>
        <v>-1.7947176673604112E-3</v>
      </c>
      <c r="AM56" s="355">
        <f>'CFS (Bull-Case)'!AM56-'CFS (Base-Case)'!AM56</f>
        <v>-1.7947176673604043E-3</v>
      </c>
      <c r="AN56" s="35">
        <f>'CFS (Bull-Case)'!AN56-'CFS (Base-Case)'!AN56</f>
        <v>-1.7947176673604043E-3</v>
      </c>
      <c r="AO56" s="35">
        <f>'CFS (Bull-Case)'!AO56-'CFS (Base-Case)'!AO56</f>
        <v>-1.7947176673604043E-3</v>
      </c>
      <c r="AP56" s="35">
        <f>'CFS (Bull-Case)'!AP56-'CFS (Base-Case)'!AP56</f>
        <v>-1.7947176673604043E-3</v>
      </c>
      <c r="AQ56" s="353">
        <f>'CFS (Bull-Case)'!AQ56-'CFS (Base-Case)'!AQ56</f>
        <v>-1.7947176673603973E-3</v>
      </c>
      <c r="AR56" s="355">
        <f>'CFS (Bull-Case)'!AR56-'CFS (Base-Case)'!AR56</f>
        <v>-1.7947176673604043E-3</v>
      </c>
      <c r="AS56" s="35">
        <f>'CFS (Bull-Case)'!AS56-'CFS (Base-Case)'!AS56</f>
        <v>-1.7947176673604043E-3</v>
      </c>
      <c r="AT56" s="35">
        <f>'CFS (Bull-Case)'!AT56-'CFS (Base-Case)'!AT56</f>
        <v>-1.7947176673604043E-3</v>
      </c>
      <c r="AU56" s="35">
        <f>'CFS (Bull-Case)'!AU56-'CFS (Base-Case)'!AU56</f>
        <v>-1.7947176673604043E-3</v>
      </c>
      <c r="AV56" s="353">
        <f>'CFS (Bull-Case)'!AV56-'CFS (Base-Case)'!AV56</f>
        <v>-1.7947176673603904E-3</v>
      </c>
    </row>
    <row r="57" spans="2:48" outlineLevel="1" x14ac:dyDescent="0.3">
      <c r="B57" s="200" t="s">
        <v>313</v>
      </c>
      <c r="C57" s="356"/>
      <c r="D57" s="299">
        <f>'CFS (Bull-Case)'!D57-'CFS (Base-Case)'!D57</f>
        <v>0</v>
      </c>
      <c r="E57" s="299">
        <f>'CFS (Bull-Case)'!E57-'CFS (Base-Case)'!E57</f>
        <v>0</v>
      </c>
      <c r="F57" s="146">
        <f>'CFS (Bull-Case)'!F57-'CFS (Base-Case)'!F57</f>
        <v>0</v>
      </c>
      <c r="G57" s="146">
        <f>'CFS (Bull-Case)'!G57-'CFS (Base-Case)'!G57</f>
        <v>0</v>
      </c>
      <c r="H57" s="122">
        <f>'CFS (Bull-Case)'!H57-'CFS (Base-Case)'!H57</f>
        <v>0</v>
      </c>
      <c r="I57" s="299">
        <f>'CFS (Bull-Case)'!I57-'CFS (Base-Case)'!I57</f>
        <v>0</v>
      </c>
      <c r="J57" s="146">
        <f>'CFS (Bull-Case)'!J57-'CFS (Base-Case)'!J57</f>
        <v>0</v>
      </c>
      <c r="K57" s="146">
        <f>'CFS (Bull-Case)'!K57-'CFS (Base-Case)'!K57</f>
        <v>0</v>
      </c>
      <c r="L57" s="146">
        <f>'CFS (Bull-Case)'!L57-'CFS (Base-Case)'!L57</f>
        <v>0</v>
      </c>
      <c r="M57" s="122">
        <f>'CFS (Bull-Case)'!M57-'CFS (Base-Case)'!M57</f>
        <v>0</v>
      </c>
      <c r="N57" s="299">
        <f>'CFS (Bull-Case)'!N57-'CFS (Base-Case)'!N57</f>
        <v>0</v>
      </c>
      <c r="O57" s="146">
        <f>'CFS (Bull-Case)'!O57-'CFS (Base-Case)'!O57</f>
        <v>0</v>
      </c>
      <c r="P57" s="146">
        <f>'CFS (Bull-Case)'!P57-'CFS (Base-Case)'!P57</f>
        <v>0</v>
      </c>
      <c r="Q57" s="146">
        <f>'CFS (Bull-Case)'!Q57-'CFS (Base-Case)'!Q57</f>
        <v>0</v>
      </c>
      <c r="R57" s="122">
        <f>'CFS (Bull-Case)'!R57-'CFS (Base-Case)'!R57</f>
        <v>0</v>
      </c>
      <c r="S57" s="299">
        <f>'CFS (Bull-Case)'!S57-'CFS (Base-Case)'!S57</f>
        <v>0</v>
      </c>
      <c r="T57" s="146">
        <f>'CFS (Bull-Case)'!T57-'CFS (Base-Case)'!T57</f>
        <v>0</v>
      </c>
      <c r="U57" s="146">
        <f>'CFS (Bull-Case)'!U57-'CFS (Base-Case)'!U57</f>
        <v>0</v>
      </c>
      <c r="V57" s="146">
        <f>'CFS (Bull-Case)'!V57-'CFS (Base-Case)'!V57</f>
        <v>0</v>
      </c>
      <c r="W57" s="122">
        <f>'CFS (Bull-Case)'!W57-'CFS (Base-Case)'!W57</f>
        <v>0</v>
      </c>
      <c r="X57" s="299">
        <f>'CFS (Bull-Case)'!X57-'CFS (Base-Case)'!X57</f>
        <v>0</v>
      </c>
      <c r="Y57" s="299">
        <f>'CFS (Bull-Case)'!Y57-'CFS (Base-Case)'!Y57</f>
        <v>0</v>
      </c>
      <c r="Z57" s="299">
        <f>'CFS (Bull-Case)'!Z57-'CFS (Base-Case)'!Z57</f>
        <v>0</v>
      </c>
      <c r="AA57" s="299">
        <f>'CFS (Bull-Case)'!AA57-'CFS (Base-Case)'!AA57</f>
        <v>0</v>
      </c>
      <c r="AB57" s="166">
        <f>'CFS (Bull-Case)'!AB57-'CFS (Base-Case)'!AB57</f>
        <v>0</v>
      </c>
      <c r="AC57" s="299">
        <f>'CFS (Bull-Case)'!AC57-'CFS (Base-Case)'!AC57</f>
        <v>0</v>
      </c>
      <c r="AD57" s="146">
        <f>'CFS (Bull-Case)'!AD57-'CFS (Base-Case)'!AD57</f>
        <v>0</v>
      </c>
      <c r="AE57" s="146">
        <f>'CFS (Bull-Case)'!AE57-'CFS (Base-Case)'!AE57</f>
        <v>0</v>
      </c>
      <c r="AF57" s="146">
        <f>'CFS (Bull-Case)'!AF57-'CFS (Base-Case)'!AF57</f>
        <v>0</v>
      </c>
      <c r="AG57" s="166">
        <f>'CFS (Bull-Case)'!AG57-'CFS (Base-Case)'!AG57</f>
        <v>0</v>
      </c>
      <c r="AH57" s="299">
        <f>'CFS (Bull-Case)'!AH57-'CFS (Base-Case)'!AH57</f>
        <v>0</v>
      </c>
      <c r="AI57" s="146">
        <f>'CFS (Bull-Case)'!AI57-'CFS (Base-Case)'!AI57</f>
        <v>0</v>
      </c>
      <c r="AJ57" s="146">
        <f>'CFS (Bull-Case)'!AJ57-'CFS (Base-Case)'!AJ57</f>
        <v>-1466.3600405785892</v>
      </c>
      <c r="AK57" s="146">
        <f>'CFS (Bull-Case)'!AK57-'CFS (Base-Case)'!AK57</f>
        <v>-1434.8581723953357</v>
      </c>
      <c r="AL57" s="122">
        <f>'CFS (Bull-Case)'!AL57-'CFS (Base-Case)'!AL57</f>
        <v>-2901.2182129739249</v>
      </c>
      <c r="AM57" s="299">
        <f>'CFS (Bull-Case)'!AM57-'CFS (Base-Case)'!AM57</f>
        <v>31.57090624663067</v>
      </c>
      <c r="AN57" s="146">
        <f>'CFS (Bull-Case)'!AN57-'CFS (Base-Case)'!AN57</f>
        <v>31.634048059123984</v>
      </c>
      <c r="AO57" s="146">
        <f>'CFS (Bull-Case)'!AO57-'CFS (Base-Case)'!AO57</f>
        <v>38.938630045913783</v>
      </c>
      <c r="AP57" s="146">
        <f>'CFS (Bull-Case)'!AP57-'CFS (Base-Case)'!AP57</f>
        <v>48.570712256511229</v>
      </c>
      <c r="AQ57" s="122">
        <f>'CFS (Bull-Case)'!AQ57-'CFS (Base-Case)'!AQ57</f>
        <v>150.71429660817967</v>
      </c>
      <c r="AR57" s="299">
        <f>'CFS (Bull-Case)'!AR57-'CFS (Base-Case)'!AR57</f>
        <v>48.667853681024212</v>
      </c>
      <c r="AS57" s="146">
        <f>'CFS (Bull-Case)'!AS57-'CFS (Base-Case)'!AS57</f>
        <v>48.765189388386261</v>
      </c>
      <c r="AT57" s="146">
        <f>'CFS (Bull-Case)'!AT57-'CFS (Base-Case)'!AT57</f>
        <v>48.862719767163071</v>
      </c>
      <c r="AU57" s="146">
        <f>'CFS (Bull-Case)'!AU57-'CFS (Base-Case)'!AU57</f>
        <v>49.93965411083127</v>
      </c>
      <c r="AV57" s="122">
        <f>'CFS (Bull-Case)'!AV57-'CFS (Base-Case)'!AV57</f>
        <v>196.23541694740516</v>
      </c>
    </row>
    <row r="58" spans="2:48" outlineLevel="1" x14ac:dyDescent="0.3">
      <c r="B58" s="203" t="s">
        <v>314</v>
      </c>
      <c r="C58" s="364"/>
      <c r="D58" s="365">
        <f>'CFS (Bull-Case)'!D58-'CFS (Base-Case)'!D58</f>
        <v>0</v>
      </c>
      <c r="E58" s="365">
        <f>'CFS (Bull-Case)'!E58-'CFS (Base-Case)'!E58</f>
        <v>0</v>
      </c>
      <c r="F58" s="366">
        <f>'CFS (Bull-Case)'!F58-'CFS (Base-Case)'!F58</f>
        <v>0</v>
      </c>
      <c r="G58" s="366">
        <f>'CFS (Bull-Case)'!G58-'CFS (Base-Case)'!G58</f>
        <v>0</v>
      </c>
      <c r="H58" s="367">
        <f>'CFS (Bull-Case)'!H58-'CFS (Base-Case)'!H58</f>
        <v>0</v>
      </c>
      <c r="I58" s="365">
        <f>'CFS (Bull-Case)'!I58-'CFS (Base-Case)'!I58</f>
        <v>0</v>
      </c>
      <c r="J58" s="366">
        <f>'CFS (Bull-Case)'!J58-'CFS (Base-Case)'!J58</f>
        <v>0</v>
      </c>
      <c r="K58" s="366">
        <f>'CFS (Bull-Case)'!K58-'CFS (Base-Case)'!K58</f>
        <v>0</v>
      </c>
      <c r="L58" s="366">
        <f>'CFS (Bull-Case)'!L58-'CFS (Base-Case)'!L58</f>
        <v>0</v>
      </c>
      <c r="M58" s="367">
        <f>'CFS (Bull-Case)'!M58-'CFS (Base-Case)'!M58</f>
        <v>0</v>
      </c>
      <c r="N58" s="365">
        <f>'CFS (Bull-Case)'!N58-'CFS (Base-Case)'!N58</f>
        <v>0</v>
      </c>
      <c r="O58" s="366">
        <f>'CFS (Bull-Case)'!O58-'CFS (Base-Case)'!O58</f>
        <v>0</v>
      </c>
      <c r="P58" s="366">
        <f>'CFS (Bull-Case)'!P58-'CFS (Base-Case)'!P58</f>
        <v>0</v>
      </c>
      <c r="Q58" s="366">
        <f>'CFS (Bull-Case)'!Q58-'CFS (Base-Case)'!Q58</f>
        <v>0</v>
      </c>
      <c r="R58" s="367">
        <f>'CFS (Bull-Case)'!R58-'CFS (Base-Case)'!R58</f>
        <v>0</v>
      </c>
      <c r="S58" s="365">
        <f>'CFS (Bull-Case)'!S58-'CFS (Base-Case)'!S58</f>
        <v>0</v>
      </c>
      <c r="T58" s="366">
        <f>'CFS (Bull-Case)'!T58-'CFS (Base-Case)'!T58</f>
        <v>0</v>
      </c>
      <c r="U58" s="366">
        <f>'CFS (Bull-Case)'!U58-'CFS (Base-Case)'!U58</f>
        <v>0</v>
      </c>
      <c r="V58" s="366">
        <f>'CFS (Bull-Case)'!V58-'CFS (Base-Case)'!V58</f>
        <v>0</v>
      </c>
      <c r="W58" s="367">
        <f>'CFS (Bull-Case)'!W58-'CFS (Base-Case)'!W58</f>
        <v>0</v>
      </c>
      <c r="X58" s="365">
        <f>'CFS (Bull-Case)'!X58-'CFS (Base-Case)'!X58</f>
        <v>0</v>
      </c>
      <c r="Y58" s="365">
        <f>'CFS (Bull-Case)'!Y58-'CFS (Base-Case)'!Y58</f>
        <v>0</v>
      </c>
      <c r="Z58" s="365">
        <f>'CFS (Bull-Case)'!Z58-'CFS (Base-Case)'!Z58</f>
        <v>0</v>
      </c>
      <c r="AA58" s="365">
        <f>'CFS (Bull-Case)'!AA58-'CFS (Base-Case)'!AA58</f>
        <v>0</v>
      </c>
      <c r="AB58" s="368">
        <f>'CFS (Bull-Case)'!AB58-'CFS (Base-Case)'!AB58</f>
        <v>0</v>
      </c>
      <c r="AC58" s="365">
        <f>'CFS (Bull-Case)'!AC58-'CFS (Base-Case)'!AC58</f>
        <v>0</v>
      </c>
      <c r="AD58" s="365">
        <f>'CFS (Bull-Case)'!AD58-'CFS (Base-Case)'!AD58</f>
        <v>0</v>
      </c>
      <c r="AE58" s="365">
        <f>'CFS (Bull-Case)'!AE58-'CFS (Base-Case)'!AE58</f>
        <v>0</v>
      </c>
      <c r="AF58" s="365">
        <f>'CFS (Bull-Case)'!AF58-'CFS (Base-Case)'!AF58</f>
        <v>0</v>
      </c>
      <c r="AG58" s="368">
        <f>'CFS (Bull-Case)'!AG58-'CFS (Base-Case)'!AG58</f>
        <v>0</v>
      </c>
      <c r="AH58" s="365">
        <f>'CFS (Bull-Case)'!AH58-'CFS (Base-Case)'!AH58</f>
        <v>0</v>
      </c>
      <c r="AI58" s="365">
        <f>'CFS (Bull-Case)'!AI58-'CFS (Base-Case)'!AI58</f>
        <v>0</v>
      </c>
      <c r="AJ58" s="365">
        <f>'CFS (Bull-Case)'!AJ58-'CFS (Base-Case)'!AJ58</f>
        <v>-1466.3600405785892</v>
      </c>
      <c r="AK58" s="365">
        <f>'CFS (Bull-Case)'!AK58-'CFS (Base-Case)'!AK58</f>
        <v>-2901.2182129739267</v>
      </c>
      <c r="AL58" s="394">
        <f>'CFS (Bull-Case)'!AL58-'CFS (Base-Case)'!AL58</f>
        <v>-2901.2182129739267</v>
      </c>
      <c r="AM58" s="365">
        <f>'CFS (Bull-Case)'!AM58-'CFS (Base-Case)'!AM58</f>
        <v>0</v>
      </c>
      <c r="AN58" s="366">
        <f>'CFS (Bull-Case)'!AN58-'CFS (Base-Case)'!AN58</f>
        <v>0</v>
      </c>
      <c r="AO58" s="366">
        <f>'CFS (Bull-Case)'!AO58-'CFS (Base-Case)'!AO58</f>
        <v>0</v>
      </c>
      <c r="AP58" s="366">
        <f>'CFS (Bull-Case)'!AP58-'CFS (Base-Case)'!AP58</f>
        <v>0</v>
      </c>
      <c r="AQ58" s="367">
        <f>'CFS (Bull-Case)'!AQ58-'CFS (Base-Case)'!AQ58</f>
        <v>0</v>
      </c>
      <c r="AR58" s="365">
        <f>'CFS (Bull-Case)'!AR58-'CFS (Base-Case)'!AR58</f>
        <v>0</v>
      </c>
      <c r="AS58" s="366">
        <f>'CFS (Bull-Case)'!AS58-'CFS (Base-Case)'!AS58</f>
        <v>0</v>
      </c>
      <c r="AT58" s="366">
        <f>'CFS (Bull-Case)'!AT58-'CFS (Base-Case)'!AT58</f>
        <v>0</v>
      </c>
      <c r="AU58" s="366">
        <f>'CFS (Bull-Case)'!AU58-'CFS (Base-Case)'!AU58</f>
        <v>0</v>
      </c>
      <c r="AV58" s="367">
        <f>'CFS (Bull-Case)'!AV58-'CFS (Base-Case)'!AV58</f>
        <v>0</v>
      </c>
    </row>
    <row r="59" spans="2:48" x14ac:dyDescent="0.3">
      <c r="B59" s="395" t="s">
        <v>330</v>
      </c>
      <c r="C59" s="396"/>
      <c r="D59" s="397"/>
      <c r="E59" s="397"/>
      <c r="F59" s="398"/>
      <c r="G59" s="398"/>
      <c r="H59" s="398"/>
      <c r="I59" s="397"/>
      <c r="J59" s="397"/>
      <c r="K59" s="398"/>
      <c r="L59" s="398"/>
      <c r="M59" s="398"/>
      <c r="N59" s="397"/>
      <c r="O59" s="397"/>
      <c r="P59" s="398"/>
      <c r="Q59" s="398"/>
      <c r="R59" s="398"/>
      <c r="S59" s="397"/>
      <c r="T59" s="397"/>
      <c r="U59" s="398"/>
      <c r="V59" s="398"/>
      <c r="W59" s="398"/>
      <c r="X59" s="397"/>
      <c r="Y59" s="397"/>
      <c r="Z59" s="398"/>
      <c r="AA59" s="398"/>
      <c r="AB59" s="398"/>
      <c r="AC59" s="397"/>
      <c r="AD59" s="397"/>
      <c r="AE59" s="398"/>
      <c r="AF59" s="398"/>
      <c r="AG59" s="398"/>
      <c r="AH59" s="397"/>
      <c r="AI59" s="397"/>
      <c r="AJ59" s="398"/>
      <c r="AK59" s="398"/>
      <c r="AL59" s="403">
        <f>'CFS (Bull-Case)'!AL59-'CFS (Base-Case)'!AL59</f>
        <v>2.0225522031966703E-2</v>
      </c>
    </row>
    <row r="60" spans="2:48" x14ac:dyDescent="0.3">
      <c r="B60" s="308" t="s">
        <v>331</v>
      </c>
      <c r="D60" s="399"/>
      <c r="E60" s="399"/>
      <c r="I60" s="399"/>
      <c r="J60" s="399"/>
      <c r="N60" s="399"/>
      <c r="O60" s="399"/>
      <c r="S60" s="399"/>
      <c r="T60" s="399"/>
      <c r="X60" s="399"/>
      <c r="Y60" s="399"/>
      <c r="AC60" s="399"/>
      <c r="AD60" s="399"/>
      <c r="AH60" s="399"/>
      <c r="AI60" s="399"/>
      <c r="AL60" s="29">
        <f>'CFS (Bull-Case)'!AL60-'CFS (Base-Case)'!AL60</f>
        <v>2.1604225500680363E-2</v>
      </c>
    </row>
    <row r="61" spans="2:48" x14ac:dyDescent="0.3">
      <c r="B61" s="311" t="s">
        <v>332</v>
      </c>
      <c r="C61" s="400"/>
      <c r="D61" s="401"/>
      <c r="E61" s="401"/>
      <c r="F61" s="402"/>
      <c r="G61" s="402"/>
      <c r="H61" s="402"/>
      <c r="I61" s="401"/>
      <c r="J61" s="401"/>
      <c r="K61" s="402"/>
      <c r="L61" s="402"/>
      <c r="M61" s="402"/>
      <c r="N61" s="401"/>
      <c r="O61" s="401"/>
      <c r="P61" s="402"/>
      <c r="Q61" s="402"/>
      <c r="R61" s="402"/>
      <c r="S61" s="401"/>
      <c r="T61" s="401"/>
      <c r="U61" s="402"/>
      <c r="V61" s="402"/>
      <c r="W61" s="402"/>
      <c r="X61" s="401"/>
      <c r="Y61" s="401"/>
      <c r="Z61" s="402"/>
      <c r="AA61" s="402"/>
      <c r="AB61" s="402"/>
      <c r="AC61" s="401"/>
      <c r="AD61" s="401"/>
      <c r="AE61" s="402"/>
      <c r="AF61" s="402"/>
      <c r="AG61" s="402"/>
      <c r="AH61" s="401"/>
      <c r="AI61" s="401"/>
      <c r="AJ61" s="402"/>
      <c r="AK61" s="402"/>
      <c r="AL61" s="404">
        <f>'CFS (Bull-Case)'!AL61-'CFS (Base-Case)'!AL61</f>
        <v>-1.3787034687136601E-3</v>
      </c>
    </row>
    <row r="62" spans="2:48" s="23" customFormat="1" x14ac:dyDescent="0.3">
      <c r="B62" s="395" t="s">
        <v>333</v>
      </c>
      <c r="C62" s="409"/>
      <c r="D62" s="410"/>
      <c r="E62" s="410"/>
      <c r="F62" s="411"/>
      <c r="G62" s="411"/>
      <c r="H62" s="411"/>
      <c r="I62" s="410"/>
      <c r="J62" s="410"/>
      <c r="K62" s="411"/>
      <c r="L62" s="411"/>
      <c r="M62" s="411"/>
      <c r="N62" s="410"/>
      <c r="O62" s="410"/>
      <c r="P62" s="411"/>
      <c r="Q62" s="411"/>
      <c r="R62" s="411"/>
      <c r="S62" s="410"/>
      <c r="T62" s="410"/>
      <c r="U62" s="411"/>
      <c r="V62" s="411"/>
      <c r="W62" s="411"/>
      <c r="X62" s="410"/>
      <c r="Y62" s="410"/>
      <c r="Z62" s="411"/>
      <c r="AA62" s="411"/>
      <c r="AB62" s="411"/>
      <c r="AC62" s="410"/>
      <c r="AD62" s="410"/>
      <c r="AE62" s="411"/>
      <c r="AF62" s="411"/>
      <c r="AG62" s="411"/>
      <c r="AH62" s="410"/>
      <c r="AI62" s="410"/>
      <c r="AJ62" s="411"/>
      <c r="AK62" s="412"/>
      <c r="AL62" s="417">
        <f>'CFS (Bull-Case)'!AL62-'CFS (Base-Case)'!AL62</f>
        <v>0</v>
      </c>
      <c r="AM62" s="408"/>
      <c r="AN62" s="48"/>
      <c r="AO62" s="309"/>
      <c r="AP62" s="309"/>
      <c r="AQ62" s="309"/>
      <c r="AR62" s="48"/>
      <c r="AS62" s="48"/>
      <c r="AT62" s="309"/>
      <c r="AU62" s="309"/>
      <c r="AV62" s="309"/>
    </row>
    <row r="63" spans="2:48" s="23" customFormat="1" x14ac:dyDescent="0.3">
      <c r="B63" s="311" t="s">
        <v>334</v>
      </c>
      <c r="C63" s="413"/>
      <c r="D63" s="313"/>
      <c r="E63" s="313"/>
      <c r="F63" s="314"/>
      <c r="G63" s="314"/>
      <c r="H63" s="314"/>
      <c r="I63" s="313"/>
      <c r="J63" s="313"/>
      <c r="K63" s="314"/>
      <c r="L63" s="314"/>
      <c r="M63" s="314"/>
      <c r="N63" s="313"/>
      <c r="O63" s="313"/>
      <c r="P63" s="314"/>
      <c r="Q63" s="314"/>
      <c r="R63" s="314"/>
      <c r="S63" s="313"/>
      <c r="T63" s="313"/>
      <c r="U63" s="314"/>
      <c r="V63" s="314"/>
      <c r="W63" s="314"/>
      <c r="X63" s="313"/>
      <c r="Y63" s="313"/>
      <c r="Z63" s="314"/>
      <c r="AA63" s="314"/>
      <c r="AB63" s="314"/>
      <c r="AC63" s="313"/>
      <c r="AD63" s="313"/>
      <c r="AE63" s="314"/>
      <c r="AF63" s="314"/>
      <c r="AG63" s="314"/>
      <c r="AH63" s="313"/>
      <c r="AI63" s="313"/>
      <c r="AJ63" s="314"/>
      <c r="AK63" s="414"/>
      <c r="AL63" s="418">
        <f>'CFS (Bull-Case)'!AL63-'CFS (Base-Case)'!AL63</f>
        <v>0</v>
      </c>
      <c r="AM63" s="215"/>
      <c r="AN63" s="407"/>
      <c r="AO63" s="309"/>
      <c r="AP63" s="309"/>
      <c r="AQ63" s="309"/>
      <c r="AR63" s="48"/>
      <c r="AS63" s="48"/>
      <c r="AT63" s="309"/>
      <c r="AU63" s="309"/>
      <c r="AV63" s="309"/>
    </row>
    <row r="64" spans="2:48" s="23" customFormat="1" x14ac:dyDescent="0.3">
      <c r="B64" s="395" t="s">
        <v>344</v>
      </c>
      <c r="C64" s="409"/>
      <c r="D64" s="410"/>
      <c r="E64" s="410"/>
      <c r="F64" s="411"/>
      <c r="G64" s="411"/>
      <c r="H64" s="411"/>
      <c r="I64" s="410"/>
      <c r="J64" s="410"/>
      <c r="K64" s="411"/>
      <c r="L64" s="411"/>
      <c r="M64" s="411"/>
      <c r="N64" s="410"/>
      <c r="O64" s="410"/>
      <c r="P64" s="411"/>
      <c r="Q64" s="411"/>
      <c r="R64" s="411"/>
      <c r="S64" s="410"/>
      <c r="T64" s="410"/>
      <c r="U64" s="411"/>
      <c r="V64" s="411"/>
      <c r="W64" s="411"/>
      <c r="X64" s="410"/>
      <c r="Y64" s="410"/>
      <c r="Z64" s="411"/>
      <c r="AA64" s="411"/>
      <c r="AB64" s="411"/>
      <c r="AC64" s="410"/>
      <c r="AD64" s="410"/>
      <c r="AE64" s="411"/>
      <c r="AF64" s="411"/>
      <c r="AG64" s="411"/>
      <c r="AH64" s="410"/>
      <c r="AI64" s="410"/>
      <c r="AJ64" s="411"/>
      <c r="AK64" s="411"/>
      <c r="AL64" s="403">
        <f>'CFS (Bull-Case)'!AL64-'CFS (Base-Case)'!AL64</f>
        <v>0</v>
      </c>
      <c r="AM64" s="16"/>
      <c r="AN64" s="48"/>
      <c r="AO64" s="309"/>
      <c r="AP64" s="309"/>
      <c r="AQ64" s="309"/>
      <c r="AR64" s="48"/>
      <c r="AS64" s="48"/>
      <c r="AT64" s="309"/>
      <c r="AU64" s="309"/>
      <c r="AV64" s="309"/>
    </row>
    <row r="65" spans="2:48" s="23" customFormat="1" x14ac:dyDescent="0.3">
      <c r="B65" s="311" t="s">
        <v>345</v>
      </c>
      <c r="C65" s="413"/>
      <c r="D65" s="313"/>
      <c r="E65" s="313"/>
      <c r="F65" s="314"/>
      <c r="G65" s="314"/>
      <c r="H65" s="314"/>
      <c r="I65" s="313"/>
      <c r="J65" s="313"/>
      <c r="K65" s="314"/>
      <c r="L65" s="314"/>
      <c r="M65" s="314"/>
      <c r="N65" s="313"/>
      <c r="O65" s="313"/>
      <c r="P65" s="314"/>
      <c r="Q65" s="314"/>
      <c r="R65" s="314"/>
      <c r="S65" s="313"/>
      <c r="T65" s="313"/>
      <c r="U65" s="314"/>
      <c r="V65" s="314"/>
      <c r="W65" s="314"/>
      <c r="X65" s="313"/>
      <c r="Y65" s="313"/>
      <c r="Z65" s="314"/>
      <c r="AA65" s="314"/>
      <c r="AB65" s="314"/>
      <c r="AC65" s="313"/>
      <c r="AD65" s="313"/>
      <c r="AE65" s="314"/>
      <c r="AF65" s="314"/>
      <c r="AG65" s="314"/>
      <c r="AH65" s="313"/>
      <c r="AI65" s="313"/>
      <c r="AJ65" s="314"/>
      <c r="AK65" s="314"/>
      <c r="AL65" s="429">
        <f>'CFS (Bull-Case)'!AL65-'CFS (Base-Case)'!AL65</f>
        <v>1.081527469591026E-2</v>
      </c>
      <c r="AM65" s="48"/>
      <c r="AN65" s="48"/>
      <c r="AO65" s="309"/>
      <c r="AP65" s="309"/>
      <c r="AQ65" s="309"/>
      <c r="AR65" s="48"/>
      <c r="AS65" s="48"/>
      <c r="AT65" s="309"/>
      <c r="AU65" s="309"/>
      <c r="AV65" s="309"/>
    </row>
  </sheetData>
  <dataConsolidate/>
  <mergeCells count="27">
    <mergeCell ref="B51:C51"/>
    <mergeCell ref="B52:C52"/>
    <mergeCell ref="B55:C55"/>
    <mergeCell ref="B41:C41"/>
    <mergeCell ref="B42:C42"/>
    <mergeCell ref="B44:C44"/>
    <mergeCell ref="B48:C48"/>
    <mergeCell ref="B49:C49"/>
    <mergeCell ref="B50:C50"/>
    <mergeCell ref="B40:C40"/>
    <mergeCell ref="B21:C21"/>
    <mergeCell ref="B22:C22"/>
    <mergeCell ref="B23:C23"/>
    <mergeCell ref="B25:C25"/>
    <mergeCell ref="B26:C26"/>
    <mergeCell ref="B27:C27"/>
    <mergeCell ref="B28:C28"/>
    <mergeCell ref="B29:C29"/>
    <mergeCell ref="B36:C36"/>
    <mergeCell ref="B37:C37"/>
    <mergeCell ref="B39:C39"/>
    <mergeCell ref="B18:C18"/>
    <mergeCell ref="B3:C3"/>
    <mergeCell ref="B5:C5"/>
    <mergeCell ref="B14:C14"/>
    <mergeCell ref="B15:C15"/>
    <mergeCell ref="B17:C17"/>
  </mergeCells>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IS (Base-Case)</vt:lpstr>
      <vt:lpstr>BS (Base-Case)</vt:lpstr>
      <vt:lpstr>CFS (Base-Case)</vt:lpstr>
      <vt:lpstr>IS (Bull-Case)</vt:lpstr>
      <vt:lpstr>BS (Bull-Case)</vt:lpstr>
      <vt:lpstr>CFS (Bull-Case)</vt:lpstr>
      <vt:lpstr>IS (Change)</vt:lpstr>
      <vt:lpstr>BS (Change)</vt:lpstr>
      <vt:lpstr>CFS (Change)</vt:lpstr>
      <vt:lpstr>Valuation</vt:lpstr>
      <vt:lpstr>'BS (Base-Case)'!Print_Area</vt:lpstr>
      <vt:lpstr>'BS (Bull-Case)'!Print_Area</vt:lpstr>
      <vt:lpstr>'BS (Change)'!Print_Area</vt:lpstr>
      <vt:lpstr>'CFS (Base-Case)'!Print_Area</vt:lpstr>
      <vt:lpstr>'CFS (Bull-Case)'!Print_Area</vt:lpstr>
      <vt:lpstr>'CFS (Change)'!Print_Area</vt:lpstr>
      <vt:lpstr>'IS (Base-Case)'!Print_Area</vt:lpstr>
      <vt:lpstr>'IS (Bull-Case)'!Print_Area</vt:lpstr>
      <vt:lpstr>'IS (Change)'!Print_Area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John Moschella</cp:lastModifiedBy>
  <cp:lastPrinted>2015-01-03T01:11:29Z</cp:lastPrinted>
  <dcterms:created xsi:type="dcterms:W3CDTF">2014-10-18T18:34:10Z</dcterms:created>
  <dcterms:modified xsi:type="dcterms:W3CDTF">2022-10-13T09:48:49Z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