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autoCompressPictures="0" defaultThemeVersion="124226"/>
  <mc:AlternateContent xmlns:mc="http://schemas.openxmlformats.org/markup-compatibility/2006">
    <mc:Choice Requires="x15">
      <x15ac:absPath xmlns:x15ac="http://schemas.microsoft.com/office/spreadsheetml/2010/11/ac" url="C:\Users\Admin\Documents\Articles (2-15-2016)\HD (Home Depot)\"/>
    </mc:Choice>
  </mc:AlternateContent>
  <bookViews>
    <workbookView xWindow="0" yWindow="0" windowWidth="18432" windowHeight="7464"/>
  </bookViews>
  <sheets>
    <sheet name="Earnings Model" sheetId="3" r:id="rId1"/>
  </sheets>
  <externalReferences>
    <externalReference r:id="rId2"/>
  </externalReferences>
  <definedNames>
    <definedName name="DATA">'[1]Estimates by Analyst'!$B$6:$M$50</definedName>
    <definedName name="_xlnm.Print_Area" localSheetId="0">'Earnings Model'!$A$1:$W$191</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O33" i="3" l="1"/>
  <c r="O35" i="3"/>
  <c r="O37" i="3"/>
  <c r="O11" i="3"/>
  <c r="O12" i="3"/>
  <c r="O13" i="3"/>
  <c r="N41" i="3"/>
  <c r="O41" i="3"/>
  <c r="O14" i="3"/>
  <c r="O15" i="3"/>
  <c r="O16" i="3"/>
  <c r="O17" i="3"/>
  <c r="N43" i="3"/>
  <c r="O43" i="3"/>
  <c r="O18" i="3"/>
  <c r="N44" i="3"/>
  <c r="O44" i="3"/>
  <c r="O19" i="3"/>
  <c r="O20" i="3"/>
  <c r="O21" i="3"/>
  <c r="O22" i="3"/>
  <c r="O23" i="3"/>
  <c r="O66" i="3"/>
  <c r="O25" i="3"/>
  <c r="O27" i="3"/>
  <c r="P33" i="3"/>
  <c r="P35" i="3"/>
  <c r="P37" i="3"/>
  <c r="P11" i="3"/>
  <c r="P12" i="3"/>
  <c r="P13" i="3"/>
  <c r="P41" i="3"/>
  <c r="P14" i="3"/>
  <c r="P15" i="3"/>
  <c r="P16" i="3"/>
  <c r="P17" i="3"/>
  <c r="P43" i="3"/>
  <c r="P18" i="3"/>
  <c r="P44" i="3"/>
  <c r="P19" i="3"/>
  <c r="P20" i="3"/>
  <c r="P21" i="3"/>
  <c r="P22" i="3"/>
  <c r="P23" i="3"/>
  <c r="P66" i="3"/>
  <c r="P25" i="3"/>
  <c r="P27" i="3"/>
  <c r="Q33" i="3"/>
  <c r="Q36" i="3"/>
  <c r="Q35" i="3"/>
  <c r="Q37" i="3"/>
  <c r="Q11" i="3"/>
  <c r="Q12" i="3"/>
  <c r="Q13" i="3"/>
  <c r="Q41" i="3"/>
  <c r="Q14" i="3"/>
  <c r="Q15" i="3"/>
  <c r="Q16" i="3"/>
  <c r="Q17" i="3"/>
  <c r="Q43" i="3"/>
  <c r="Q18" i="3"/>
  <c r="Q44" i="3"/>
  <c r="Q19" i="3"/>
  <c r="Q20" i="3"/>
  <c r="Q21" i="3"/>
  <c r="Q22" i="3"/>
  <c r="Q23" i="3"/>
  <c r="Q66" i="3"/>
  <c r="Q25" i="3"/>
  <c r="Q27" i="3"/>
  <c r="S33" i="3"/>
  <c r="S35" i="3"/>
  <c r="S37" i="3"/>
  <c r="S11" i="3"/>
  <c r="S12" i="3"/>
  <c r="S13" i="3"/>
  <c r="S41" i="3"/>
  <c r="S14" i="3"/>
  <c r="S15" i="3"/>
  <c r="S16" i="3"/>
  <c r="S17" i="3"/>
  <c r="S43" i="3"/>
  <c r="S18" i="3"/>
  <c r="S44" i="3"/>
  <c r="S19" i="3"/>
  <c r="S20" i="3"/>
  <c r="S21" i="3"/>
  <c r="S22" i="3"/>
  <c r="S23" i="3"/>
  <c r="N13" i="3"/>
  <c r="N16" i="3"/>
  <c r="N17" i="3"/>
  <c r="N20" i="3"/>
  <c r="N21" i="3"/>
  <c r="N23" i="3"/>
  <c r="R11" i="3"/>
  <c r="R12" i="3"/>
  <c r="R13" i="3"/>
  <c r="R14" i="3"/>
  <c r="R15" i="3"/>
  <c r="R16" i="3"/>
  <c r="R17" i="3"/>
  <c r="R18" i="3"/>
  <c r="R19" i="3"/>
  <c r="R20" i="3"/>
  <c r="R21" i="3"/>
  <c r="R22" i="3"/>
  <c r="R23" i="3"/>
  <c r="R25" i="3"/>
  <c r="S66" i="3"/>
  <c r="S25" i="3"/>
  <c r="S27" i="3"/>
  <c r="N157" i="3"/>
  <c r="C164" i="3"/>
  <c r="C165" i="3"/>
  <c r="T33" i="3"/>
  <c r="T35" i="3"/>
  <c r="T37" i="3"/>
  <c r="T11" i="3"/>
  <c r="U33" i="3"/>
  <c r="U35" i="3"/>
  <c r="U37" i="3"/>
  <c r="U11" i="3"/>
  <c r="V33" i="3"/>
  <c r="V35" i="3"/>
  <c r="V37" i="3"/>
  <c r="V11" i="3"/>
  <c r="W11" i="3"/>
  <c r="T12" i="3"/>
  <c r="U12" i="3"/>
  <c r="V12" i="3"/>
  <c r="W12" i="3"/>
  <c r="W13" i="3"/>
  <c r="T41" i="3"/>
  <c r="T14" i="3"/>
  <c r="U41" i="3"/>
  <c r="U14" i="3"/>
  <c r="V41" i="3"/>
  <c r="V14" i="3"/>
  <c r="W14" i="3"/>
  <c r="T15" i="3"/>
  <c r="U15" i="3"/>
  <c r="V15" i="3"/>
  <c r="W15" i="3"/>
  <c r="W16" i="3"/>
  <c r="W17" i="3"/>
  <c r="T43" i="3"/>
  <c r="T18" i="3"/>
  <c r="U43" i="3"/>
  <c r="U18" i="3"/>
  <c r="V43" i="3"/>
  <c r="V18" i="3"/>
  <c r="W18" i="3"/>
  <c r="T44" i="3"/>
  <c r="T19" i="3"/>
  <c r="U44" i="3"/>
  <c r="U19" i="3"/>
  <c r="V44" i="3"/>
  <c r="V19" i="3"/>
  <c r="W19" i="3"/>
  <c r="W20" i="3"/>
  <c r="W21" i="3"/>
  <c r="T13" i="3"/>
  <c r="T16" i="3"/>
  <c r="T17" i="3"/>
  <c r="T20" i="3"/>
  <c r="T21" i="3"/>
  <c r="T22" i="3"/>
  <c r="U13" i="3"/>
  <c r="U16" i="3"/>
  <c r="U17" i="3"/>
  <c r="U20" i="3"/>
  <c r="U21" i="3"/>
  <c r="U22" i="3"/>
  <c r="V13" i="3"/>
  <c r="V16" i="3"/>
  <c r="V17" i="3"/>
  <c r="V20" i="3"/>
  <c r="V21" i="3"/>
  <c r="V22" i="3"/>
  <c r="W22" i="3"/>
  <c r="W23" i="3"/>
  <c r="T66" i="3"/>
  <c r="T25" i="3"/>
  <c r="T23" i="3"/>
  <c r="U66" i="3"/>
  <c r="U25" i="3"/>
  <c r="U23" i="3"/>
  <c r="V66" i="3"/>
  <c r="V25" i="3"/>
  <c r="V23" i="3"/>
  <c r="W25" i="3"/>
  <c r="W27" i="3"/>
  <c r="W24" i="3"/>
  <c r="W26" i="3"/>
  <c r="R27" i="3"/>
  <c r="O24" i="3"/>
  <c r="P24" i="3"/>
  <c r="Q24" i="3"/>
  <c r="R24" i="3"/>
  <c r="R26" i="3"/>
  <c r="M11" i="3"/>
  <c r="M12" i="3"/>
  <c r="M13" i="3"/>
  <c r="M14" i="3"/>
  <c r="M15" i="3"/>
  <c r="M16" i="3"/>
  <c r="M17" i="3"/>
  <c r="M18" i="3"/>
  <c r="M20" i="3"/>
  <c r="M21" i="3"/>
  <c r="M22" i="3"/>
  <c r="M23" i="3"/>
  <c r="M27" i="3"/>
  <c r="R7" i="3"/>
  <c r="R6" i="3"/>
  <c r="W37" i="3"/>
  <c r="R37" i="3"/>
  <c r="M37" i="3"/>
  <c r="H37" i="3"/>
  <c r="V29" i="3"/>
  <c r="U29" i="3"/>
  <c r="T29" i="3"/>
  <c r="S29" i="3"/>
  <c r="Q29" i="3"/>
  <c r="P29" i="3"/>
  <c r="O29" i="3"/>
  <c r="N29" i="3"/>
  <c r="M29" i="3"/>
  <c r="K29" i="3"/>
  <c r="J29" i="3"/>
  <c r="I29" i="3"/>
  <c r="H11" i="3"/>
  <c r="H29" i="3"/>
  <c r="F29" i="3"/>
  <c r="E29" i="3"/>
  <c r="D29" i="3"/>
  <c r="E157" i="3"/>
  <c r="F157" i="3"/>
  <c r="G157" i="3"/>
  <c r="H72" i="3"/>
  <c r="H93" i="3"/>
  <c r="H157" i="3"/>
  <c r="I157" i="3"/>
  <c r="J157" i="3"/>
  <c r="K157" i="3"/>
  <c r="L157" i="3"/>
  <c r="M72" i="3"/>
  <c r="M90" i="3"/>
  <c r="M93" i="3"/>
  <c r="M157" i="3"/>
  <c r="D157" i="3"/>
  <c r="J123" i="3"/>
  <c r="K123" i="3"/>
  <c r="L123" i="3"/>
  <c r="M123" i="3"/>
  <c r="J126" i="3"/>
  <c r="K126" i="3"/>
  <c r="L126" i="3"/>
  <c r="M126" i="3"/>
  <c r="J127" i="3"/>
  <c r="K127" i="3"/>
  <c r="L127" i="3"/>
  <c r="M127" i="3"/>
  <c r="J128" i="3"/>
  <c r="K128" i="3"/>
  <c r="L128" i="3"/>
  <c r="M128" i="3"/>
  <c r="D13" i="3"/>
  <c r="D16" i="3"/>
  <c r="D17" i="3"/>
  <c r="D20" i="3"/>
  <c r="D21" i="3"/>
  <c r="D23" i="3"/>
  <c r="D113" i="3"/>
  <c r="D130" i="3"/>
  <c r="E113" i="3"/>
  <c r="E114" i="3"/>
  <c r="E115" i="3"/>
  <c r="E122" i="3"/>
  <c r="E123" i="3"/>
  <c r="E124" i="3"/>
  <c r="E125" i="3"/>
  <c r="E126" i="3"/>
  <c r="E127" i="3"/>
  <c r="E128" i="3"/>
  <c r="E129" i="3"/>
  <c r="E130" i="3"/>
  <c r="F113" i="3"/>
  <c r="F114" i="3"/>
  <c r="F115" i="3"/>
  <c r="F122" i="3"/>
  <c r="F123" i="3"/>
  <c r="F124" i="3"/>
  <c r="F125" i="3"/>
  <c r="F126" i="3"/>
  <c r="F127" i="3"/>
  <c r="F128" i="3"/>
  <c r="F129" i="3"/>
  <c r="F130" i="3"/>
  <c r="G113" i="3"/>
  <c r="G114" i="3"/>
  <c r="G115" i="3"/>
  <c r="G122" i="3"/>
  <c r="G123" i="3"/>
  <c r="G124" i="3"/>
  <c r="G125" i="3"/>
  <c r="G126" i="3"/>
  <c r="G127" i="3"/>
  <c r="G128" i="3"/>
  <c r="G129" i="3"/>
  <c r="G130" i="3"/>
  <c r="H130" i="3"/>
  <c r="I13" i="3"/>
  <c r="I16" i="3"/>
  <c r="I17" i="3"/>
  <c r="I20" i="3"/>
  <c r="I21" i="3"/>
  <c r="I23" i="3"/>
  <c r="I113" i="3"/>
  <c r="I130" i="3"/>
  <c r="J13" i="3"/>
  <c r="J16" i="3"/>
  <c r="J17" i="3"/>
  <c r="J20" i="3"/>
  <c r="J21" i="3"/>
  <c r="J23" i="3"/>
  <c r="J113" i="3"/>
  <c r="J114" i="3"/>
  <c r="J115" i="3"/>
  <c r="J122" i="3"/>
  <c r="J124" i="3"/>
  <c r="J125" i="3"/>
  <c r="J129" i="3"/>
  <c r="J130" i="3"/>
  <c r="K113" i="3"/>
  <c r="K114" i="3"/>
  <c r="K115" i="3"/>
  <c r="K119" i="3"/>
  <c r="K122" i="3"/>
  <c r="K124" i="3"/>
  <c r="K125" i="3"/>
  <c r="K129" i="3"/>
  <c r="K130" i="3"/>
  <c r="L113" i="3"/>
  <c r="L114" i="3"/>
  <c r="L115" i="3"/>
  <c r="L122" i="3"/>
  <c r="L124" i="3"/>
  <c r="L125" i="3"/>
  <c r="L129" i="3"/>
  <c r="L130" i="3"/>
  <c r="M130" i="3"/>
  <c r="L65" i="3"/>
  <c r="K65" i="3"/>
  <c r="J65" i="3"/>
  <c r="I65" i="3"/>
  <c r="N65" i="3"/>
  <c r="N63" i="3"/>
  <c r="N62" i="3"/>
  <c r="L14" i="3"/>
  <c r="T51" i="3"/>
  <c r="O51" i="3"/>
  <c r="G55" i="3"/>
  <c r="G56" i="3"/>
  <c r="G59" i="3"/>
  <c r="F55" i="3"/>
  <c r="F56" i="3"/>
  <c r="F57" i="3"/>
  <c r="F59" i="3"/>
  <c r="E55" i="3"/>
  <c r="E56" i="3"/>
  <c r="E57" i="3"/>
  <c r="E59" i="3"/>
  <c r="D55" i="3"/>
  <c r="D56" i="3"/>
  <c r="D57" i="3"/>
  <c r="D59" i="3"/>
  <c r="K55" i="3"/>
  <c r="K56" i="3"/>
  <c r="K57" i="3"/>
  <c r="K59" i="3"/>
  <c r="J55" i="3"/>
  <c r="J56" i="3"/>
  <c r="J57" i="3"/>
  <c r="J59" i="3"/>
  <c r="N55" i="3"/>
  <c r="N56" i="3"/>
  <c r="N57" i="3"/>
  <c r="N59" i="3"/>
  <c r="M103" i="3"/>
  <c r="N92" i="3"/>
  <c r="N96" i="3"/>
  <c r="N106" i="3"/>
  <c r="N107" i="3"/>
  <c r="N76" i="3"/>
  <c r="N81" i="3"/>
  <c r="N108" i="3"/>
  <c r="M100" i="3"/>
  <c r="M101" i="3"/>
  <c r="M102" i="3"/>
  <c r="M104" i="3"/>
  <c r="M105" i="3"/>
  <c r="M106" i="3"/>
  <c r="M84" i="3"/>
  <c r="M85" i="3"/>
  <c r="M86" i="3"/>
  <c r="M87" i="3"/>
  <c r="M88" i="3"/>
  <c r="M89" i="3"/>
  <c r="L91" i="3"/>
  <c r="M91" i="3"/>
  <c r="M92" i="3"/>
  <c r="M94" i="3"/>
  <c r="M95" i="3"/>
  <c r="M96" i="3"/>
  <c r="M107" i="3"/>
  <c r="M73" i="3"/>
  <c r="M74" i="3"/>
  <c r="M75" i="3"/>
  <c r="M76" i="3"/>
  <c r="M77" i="3"/>
  <c r="M78" i="3"/>
  <c r="M79" i="3"/>
  <c r="M80" i="3"/>
  <c r="M81" i="3"/>
  <c r="I57" i="3"/>
  <c r="O53" i="3"/>
  <c r="P53" i="3"/>
  <c r="Q53" i="3"/>
  <c r="S53" i="3"/>
  <c r="T53" i="3"/>
  <c r="U53" i="3"/>
  <c r="V53" i="3"/>
  <c r="S52" i="3"/>
  <c r="V52" i="3"/>
  <c r="U52" i="3"/>
  <c r="T52" i="3"/>
  <c r="Q52" i="3"/>
  <c r="P52" i="3"/>
  <c r="O52" i="3"/>
  <c r="O56" i="3"/>
  <c r="P56" i="3"/>
  <c r="Q56" i="3"/>
  <c r="S56" i="3"/>
  <c r="T56" i="3"/>
  <c r="U56" i="3"/>
  <c r="V56" i="3"/>
  <c r="O57" i="3"/>
  <c r="P57" i="3"/>
  <c r="Q57" i="3"/>
  <c r="S57" i="3"/>
  <c r="T57" i="3"/>
  <c r="U57" i="3"/>
  <c r="V57" i="3"/>
  <c r="O55" i="3"/>
  <c r="P55" i="3"/>
  <c r="Q55" i="3"/>
  <c r="S55" i="3"/>
  <c r="T55" i="3"/>
  <c r="U55" i="3"/>
  <c r="V55" i="3"/>
  <c r="V58" i="3"/>
  <c r="V59" i="3"/>
  <c r="U58" i="3"/>
  <c r="U59" i="3"/>
  <c r="T58" i="3"/>
  <c r="T59" i="3"/>
  <c r="S58" i="3"/>
  <c r="S59" i="3"/>
  <c r="Q58" i="3"/>
  <c r="Q59" i="3"/>
  <c r="P58" i="3"/>
  <c r="P59" i="3"/>
  <c r="O58" i="3"/>
  <c r="O59" i="3"/>
  <c r="L55" i="3"/>
  <c r="L56" i="3"/>
  <c r="L57" i="3"/>
  <c r="L59" i="3"/>
  <c r="V49" i="3"/>
  <c r="V50" i="3"/>
  <c r="V51" i="3"/>
  <c r="V54" i="3"/>
  <c r="V60" i="3"/>
  <c r="U49" i="3"/>
  <c r="U50" i="3"/>
  <c r="U51" i="3"/>
  <c r="U54" i="3"/>
  <c r="U60" i="3"/>
  <c r="T49" i="3"/>
  <c r="T50" i="3"/>
  <c r="T54" i="3"/>
  <c r="T60" i="3"/>
  <c r="S49" i="3"/>
  <c r="S50" i="3"/>
  <c r="S51" i="3"/>
  <c r="S54" i="3"/>
  <c r="S60" i="3"/>
  <c r="Q49" i="3"/>
  <c r="Q50" i="3"/>
  <c r="Q51" i="3"/>
  <c r="Q54" i="3"/>
  <c r="Q60" i="3"/>
  <c r="L13" i="3"/>
  <c r="L15" i="3"/>
  <c r="L16" i="3"/>
  <c r="L17" i="3"/>
  <c r="L20" i="3"/>
  <c r="L21" i="3"/>
  <c r="L23" i="3"/>
  <c r="P49" i="3"/>
  <c r="P50" i="3"/>
  <c r="P51" i="3"/>
  <c r="P54" i="3"/>
  <c r="P60" i="3"/>
  <c r="K13" i="3"/>
  <c r="K16" i="3"/>
  <c r="K17" i="3"/>
  <c r="K20" i="3"/>
  <c r="K21" i="3"/>
  <c r="K23" i="3"/>
  <c r="O49" i="3"/>
  <c r="O50" i="3"/>
  <c r="O54" i="3"/>
  <c r="O60" i="3"/>
  <c r="G54" i="3"/>
  <c r="G60" i="3"/>
  <c r="F54" i="3"/>
  <c r="F60" i="3"/>
  <c r="E54" i="3"/>
  <c r="E60" i="3"/>
  <c r="D54" i="3"/>
  <c r="D60" i="3"/>
  <c r="L49" i="3"/>
  <c r="L50" i="3"/>
  <c r="L51" i="3"/>
  <c r="L54" i="3"/>
  <c r="L60" i="3"/>
  <c r="G13" i="3"/>
  <c r="G16" i="3"/>
  <c r="G17" i="3"/>
  <c r="G20" i="3"/>
  <c r="G21" i="3"/>
  <c r="G23" i="3"/>
  <c r="K49" i="3"/>
  <c r="K50" i="3"/>
  <c r="K51" i="3"/>
  <c r="K54" i="3"/>
  <c r="K60" i="3"/>
  <c r="F13" i="3"/>
  <c r="F16" i="3"/>
  <c r="F17" i="3"/>
  <c r="F20" i="3"/>
  <c r="F21" i="3"/>
  <c r="F23" i="3"/>
  <c r="J49" i="3"/>
  <c r="J50" i="3"/>
  <c r="J54" i="3"/>
  <c r="J60" i="3"/>
  <c r="E13" i="3"/>
  <c r="E16" i="3"/>
  <c r="E17" i="3"/>
  <c r="E20" i="3"/>
  <c r="E21" i="3"/>
  <c r="E23" i="3"/>
  <c r="I49" i="3"/>
  <c r="I50" i="3"/>
  <c r="I51" i="3"/>
  <c r="I54" i="3"/>
  <c r="I60" i="3"/>
  <c r="N49" i="3"/>
  <c r="N50" i="3"/>
  <c r="N51" i="3"/>
  <c r="N54" i="3"/>
  <c r="N60" i="3"/>
  <c r="N46" i="3"/>
  <c r="N45" i="3"/>
  <c r="D45" i="3"/>
  <c r="H19" i="3"/>
  <c r="E44" i="3"/>
  <c r="L44" i="3"/>
  <c r="K44" i="3"/>
  <c r="J44" i="3"/>
  <c r="I44" i="3"/>
  <c r="G44" i="3"/>
  <c r="F44" i="3"/>
  <c r="F43" i="3"/>
  <c r="E43" i="3"/>
  <c r="N42" i="3"/>
  <c r="D42" i="3"/>
  <c r="I41" i="3"/>
  <c r="L41" i="3"/>
  <c r="K41" i="3"/>
  <c r="J41" i="3"/>
  <c r="F41" i="3"/>
  <c r="G41" i="3"/>
  <c r="E41" i="3"/>
  <c r="N36" i="3"/>
  <c r="J34" i="3"/>
  <c r="G33" i="3"/>
  <c r="I34" i="3"/>
  <c r="H12" i="3"/>
  <c r="H13" i="3"/>
  <c r="H14" i="3"/>
  <c r="H15" i="3"/>
  <c r="H16" i="3"/>
  <c r="H17" i="3"/>
  <c r="H18" i="3"/>
  <c r="H20" i="3"/>
  <c r="H21" i="3"/>
  <c r="D27" i="3"/>
  <c r="D26" i="3"/>
  <c r="K36" i="3"/>
  <c r="L36" i="3"/>
  <c r="J36" i="3"/>
  <c r="I36" i="3"/>
  <c r="F36" i="3"/>
  <c r="G36" i="3"/>
  <c r="E36" i="3"/>
  <c r="N34" i="3"/>
  <c r="K34" i="3"/>
  <c r="L34" i="3"/>
  <c r="F34" i="3"/>
  <c r="G34" i="3"/>
  <c r="E34" i="3"/>
  <c r="J154" i="3"/>
  <c r="K154" i="3"/>
  <c r="L154" i="3"/>
  <c r="J151" i="3"/>
  <c r="K151" i="3"/>
  <c r="L151" i="3"/>
  <c r="J147" i="3"/>
  <c r="K147" i="3"/>
  <c r="L147" i="3"/>
  <c r="J146" i="3"/>
  <c r="K146" i="3"/>
  <c r="L146" i="3"/>
  <c r="J145" i="3"/>
  <c r="K145" i="3"/>
  <c r="L145" i="3"/>
  <c r="J144" i="3"/>
  <c r="K144" i="3"/>
  <c r="L144" i="3"/>
  <c r="K143" i="3"/>
  <c r="L143" i="3"/>
  <c r="L148" i="3"/>
  <c r="J136" i="3"/>
  <c r="K136" i="3"/>
  <c r="L136" i="3"/>
  <c r="L138" i="3"/>
  <c r="J133" i="3"/>
  <c r="K133" i="3"/>
  <c r="L133" i="3"/>
  <c r="J148" i="3"/>
  <c r="H85" i="3"/>
  <c r="H114" i="3"/>
  <c r="H115" i="3"/>
  <c r="H116" i="3"/>
  <c r="H117" i="3"/>
  <c r="H118" i="3"/>
  <c r="H119" i="3"/>
  <c r="H120" i="3"/>
  <c r="H121" i="3"/>
  <c r="H122" i="3"/>
  <c r="H123" i="3"/>
  <c r="H124" i="3"/>
  <c r="H125" i="3"/>
  <c r="H126" i="3"/>
  <c r="H127" i="3"/>
  <c r="H128" i="3"/>
  <c r="H131" i="3"/>
  <c r="H132" i="3"/>
  <c r="E133" i="3"/>
  <c r="F133" i="3"/>
  <c r="G133" i="3"/>
  <c r="H133" i="3"/>
  <c r="H134" i="3"/>
  <c r="F135" i="3"/>
  <c r="G135" i="3"/>
  <c r="H135" i="3"/>
  <c r="E136" i="3"/>
  <c r="F136" i="3"/>
  <c r="G136" i="3"/>
  <c r="H136" i="3"/>
  <c r="H137" i="3"/>
  <c r="H138" i="3"/>
  <c r="H139" i="3"/>
  <c r="D140" i="3"/>
  <c r="E140" i="3"/>
  <c r="F140" i="3"/>
  <c r="G140" i="3"/>
  <c r="H140" i="3"/>
  <c r="H141" i="3"/>
  <c r="H142" i="3"/>
  <c r="H143" i="3"/>
  <c r="E144" i="3"/>
  <c r="F144" i="3"/>
  <c r="G144" i="3"/>
  <c r="H144" i="3"/>
  <c r="E145" i="3"/>
  <c r="F145" i="3"/>
  <c r="G145" i="3"/>
  <c r="H145" i="3"/>
  <c r="E146" i="3"/>
  <c r="F146" i="3"/>
  <c r="G146" i="3"/>
  <c r="H146" i="3"/>
  <c r="E147" i="3"/>
  <c r="F147" i="3"/>
  <c r="G147" i="3"/>
  <c r="H147" i="3"/>
  <c r="H148" i="3"/>
  <c r="H149" i="3"/>
  <c r="H150" i="3"/>
  <c r="E151" i="3"/>
  <c r="F151" i="3"/>
  <c r="G151" i="3"/>
  <c r="H151" i="3"/>
  <c r="D152" i="3"/>
  <c r="E152" i="3"/>
  <c r="F152" i="3"/>
  <c r="G152" i="3"/>
  <c r="H152" i="3"/>
  <c r="G153" i="3"/>
  <c r="D153" i="3"/>
  <c r="E153" i="3"/>
  <c r="F153" i="3"/>
  <c r="H153" i="3"/>
  <c r="F154" i="3"/>
  <c r="G154" i="3"/>
  <c r="H154" i="3"/>
  <c r="G85" i="3"/>
  <c r="F76" i="3"/>
  <c r="F81" i="3"/>
  <c r="E27" i="3"/>
  <c r="E76" i="3"/>
  <c r="E81" i="3"/>
  <c r="D92" i="3"/>
  <c r="D96" i="3"/>
  <c r="L43" i="3"/>
  <c r="E106" i="3"/>
  <c r="E92" i="3"/>
  <c r="E96" i="3"/>
  <c r="E107" i="3"/>
  <c r="E108" i="3"/>
  <c r="F106" i="3"/>
  <c r="F92" i="3"/>
  <c r="F96" i="3"/>
  <c r="F107" i="3"/>
  <c r="F108" i="3"/>
  <c r="G106" i="3"/>
  <c r="G92" i="3"/>
  <c r="G96" i="3"/>
  <c r="G107" i="3"/>
  <c r="G76" i="3"/>
  <c r="G81" i="3"/>
  <c r="G108" i="3"/>
  <c r="H101" i="3"/>
  <c r="H102" i="3"/>
  <c r="H104" i="3"/>
  <c r="H105" i="3"/>
  <c r="H106" i="3"/>
  <c r="H84" i="3"/>
  <c r="H88" i="3"/>
  <c r="H91" i="3"/>
  <c r="H92" i="3"/>
  <c r="H94" i="3"/>
  <c r="H95" i="3"/>
  <c r="H96" i="3"/>
  <c r="H107" i="3"/>
  <c r="H73" i="3"/>
  <c r="H74" i="3"/>
  <c r="H75" i="3"/>
  <c r="H76" i="3"/>
  <c r="H77" i="3"/>
  <c r="H78" i="3"/>
  <c r="H79" i="3"/>
  <c r="H80" i="3"/>
  <c r="H81" i="3"/>
  <c r="H108" i="3"/>
  <c r="I106" i="3"/>
  <c r="I92" i="3"/>
  <c r="I96" i="3"/>
  <c r="I107" i="3"/>
  <c r="I76" i="3"/>
  <c r="I81" i="3"/>
  <c r="I108" i="3"/>
  <c r="J106" i="3"/>
  <c r="J92" i="3"/>
  <c r="J96" i="3"/>
  <c r="J107" i="3"/>
  <c r="J76" i="3"/>
  <c r="J81" i="3"/>
  <c r="J108" i="3"/>
  <c r="K106" i="3"/>
  <c r="K92" i="3"/>
  <c r="K96" i="3"/>
  <c r="K107" i="3"/>
  <c r="K76" i="3"/>
  <c r="K81" i="3"/>
  <c r="K108" i="3"/>
  <c r="L106" i="3"/>
  <c r="L92" i="3"/>
  <c r="L96" i="3"/>
  <c r="L107" i="3"/>
  <c r="L76" i="3"/>
  <c r="L81" i="3"/>
  <c r="L108" i="3"/>
  <c r="M108" i="3"/>
  <c r="D106" i="3"/>
  <c r="D107" i="3"/>
  <c r="D76" i="3"/>
  <c r="D81" i="3"/>
  <c r="D108" i="3"/>
  <c r="M115" i="3"/>
  <c r="M116" i="3"/>
  <c r="M117" i="3"/>
  <c r="M118" i="3"/>
  <c r="M119" i="3"/>
  <c r="M135" i="3"/>
  <c r="M136" i="3"/>
  <c r="M137" i="3"/>
  <c r="M138" i="3"/>
  <c r="M150" i="3"/>
  <c r="M149" i="3"/>
  <c r="M148" i="3"/>
  <c r="L62" i="3"/>
  <c r="I62" i="3"/>
  <c r="I63" i="3"/>
  <c r="L63" i="3"/>
  <c r="M154" i="3"/>
  <c r="K152" i="3"/>
  <c r="I152" i="3"/>
  <c r="M151" i="3"/>
  <c r="M147" i="3"/>
  <c r="M146" i="3"/>
  <c r="M145" i="3"/>
  <c r="J152" i="3"/>
  <c r="I140" i="3"/>
  <c r="M139" i="3"/>
  <c r="K140" i="3"/>
  <c r="M132" i="3"/>
  <c r="M131" i="3"/>
  <c r="M129" i="3"/>
  <c r="M125" i="3"/>
  <c r="M124" i="3"/>
  <c r="M122" i="3"/>
  <c r="M114" i="3"/>
  <c r="L152" i="3"/>
  <c r="J140" i="3"/>
  <c r="M133" i="3"/>
  <c r="M143" i="3"/>
  <c r="M134" i="3"/>
  <c r="M144" i="3"/>
  <c r="M152" i="3"/>
  <c r="M140" i="3"/>
  <c r="L140" i="3"/>
  <c r="L42" i="3"/>
  <c r="K43" i="3"/>
  <c r="J43" i="3"/>
  <c r="K42" i="3"/>
  <c r="J42" i="3"/>
  <c r="I42" i="3"/>
  <c r="F42" i="3"/>
  <c r="E42" i="3"/>
  <c r="I43" i="3"/>
  <c r="G43" i="3"/>
  <c r="G42" i="3"/>
  <c r="K62" i="3"/>
  <c r="H42" i="3"/>
  <c r="J62" i="3"/>
  <c r="J46" i="3"/>
  <c r="I46" i="3"/>
  <c r="M42" i="3"/>
  <c r="K63" i="3"/>
  <c r="T28" i="3"/>
  <c r="U28" i="3"/>
  <c r="V28" i="3"/>
  <c r="M28" i="3"/>
  <c r="H28" i="3"/>
  <c r="J63" i="3"/>
  <c r="W28" i="3"/>
  <c r="D46" i="3"/>
  <c r="J47" i="3"/>
  <c r="J153" i="3"/>
  <c r="J45" i="3"/>
  <c r="J26" i="3"/>
  <c r="J27" i="3"/>
  <c r="K46" i="3"/>
  <c r="K47" i="3"/>
  <c r="K153" i="3"/>
  <c r="K45" i="3"/>
  <c r="H22" i="3"/>
  <c r="K26" i="3"/>
  <c r="K27" i="3"/>
  <c r="F46" i="3"/>
  <c r="F47" i="3"/>
  <c r="I47" i="3"/>
  <c r="D47" i="3"/>
  <c r="I45" i="3"/>
  <c r="F45" i="3"/>
  <c r="I153" i="3"/>
  <c r="F26" i="3"/>
  <c r="F27" i="3"/>
  <c r="I27" i="3"/>
  <c r="I26" i="3"/>
  <c r="D158" i="3"/>
  <c r="E46" i="3"/>
  <c r="H46" i="3"/>
  <c r="G46" i="3"/>
  <c r="G47" i="3"/>
  <c r="E47" i="3"/>
  <c r="H47" i="3"/>
  <c r="E45" i="3"/>
  <c r="H23" i="3"/>
  <c r="H45" i="3"/>
  <c r="G45" i="3"/>
  <c r="H113" i="3"/>
  <c r="E26" i="3"/>
  <c r="G26" i="3"/>
  <c r="G27" i="3"/>
  <c r="L46" i="3"/>
  <c r="E158" i="3"/>
  <c r="L47" i="3"/>
  <c r="M46" i="3"/>
  <c r="G155" i="3"/>
  <c r="F158" i="3"/>
  <c r="M47" i="3"/>
  <c r="N47" i="3"/>
  <c r="O47" i="3"/>
  <c r="P47" i="3"/>
  <c r="Q47" i="3"/>
  <c r="R47" i="3"/>
  <c r="S47" i="3"/>
  <c r="W42" i="3"/>
  <c r="T47" i="3"/>
  <c r="U47" i="3"/>
  <c r="V47" i="3"/>
  <c r="W46" i="3"/>
  <c r="W47" i="3"/>
  <c r="U26" i="3"/>
  <c r="U27" i="3"/>
  <c r="T27" i="3"/>
  <c r="T26" i="3"/>
  <c r="S26" i="3"/>
  <c r="L45" i="3"/>
  <c r="V27" i="3"/>
  <c r="V26" i="3"/>
  <c r="W45" i="3"/>
  <c r="L153" i="3"/>
  <c r="O26" i="3"/>
  <c r="N26" i="3"/>
  <c r="N27" i="3"/>
  <c r="L26" i="3"/>
  <c r="M45" i="3"/>
  <c r="L27" i="3"/>
  <c r="P26" i="3"/>
  <c r="M153" i="3"/>
  <c r="Q26" i="3"/>
  <c r="M26" i="3"/>
  <c r="C6" i="3"/>
  <c r="C172" i="3"/>
  <c r="C174" i="3"/>
  <c r="C173" i="3"/>
  <c r="C7" i="3"/>
  <c r="G158" i="3"/>
  <c r="H158" i="3"/>
  <c r="I155" i="3"/>
  <c r="I156" i="3"/>
  <c r="I158" i="3"/>
  <c r="J155" i="3"/>
  <c r="J156" i="3"/>
  <c r="J158" i="3"/>
  <c r="K155" i="3"/>
  <c r="K156" i="3"/>
  <c r="K158" i="3"/>
  <c r="L155" i="3"/>
  <c r="L156" i="3"/>
  <c r="L158" i="3"/>
  <c r="M155" i="3"/>
  <c r="M156" i="3"/>
  <c r="M158" i="3"/>
</calcChain>
</file>

<file path=xl/comments1.xml><?xml version="1.0" encoding="utf-8"?>
<comments xmlns="http://schemas.openxmlformats.org/spreadsheetml/2006/main">
  <authors>
    <author>paul deangelis</author>
    <author>Admin</author>
  </authors>
  <commentList>
    <comment ref="R11" authorId="0" shapeId="0">
      <text>
        <r>
          <rPr>
            <b/>
            <sz val="9"/>
            <color indexed="81"/>
            <rFont val="Calibri"/>
            <family val="2"/>
          </rPr>
          <t xml:space="preserve">MGMT Guidance projects a 6.3% sales increase.
</t>
        </r>
      </text>
    </comment>
    <comment ref="R27" authorId="0" shapeId="0">
      <text>
        <r>
          <rPr>
            <b/>
            <sz val="9"/>
            <color indexed="81"/>
            <rFont val="Calibri"/>
            <family val="2"/>
          </rPr>
          <t xml:space="preserve">Management guided Diluted EPS of $6.27, a 14.8% increase from 2015.
</t>
        </r>
        <r>
          <rPr>
            <sz val="9"/>
            <color indexed="81"/>
            <rFont val="Calibri"/>
            <family val="2"/>
          </rPr>
          <t xml:space="preserve">
</t>
        </r>
      </text>
    </comment>
    <comment ref="B37" authorId="1" shapeId="0">
      <text>
        <r>
          <rPr>
            <sz val="9"/>
            <color indexed="81"/>
            <rFont val="Tahoma"/>
            <family val="2"/>
          </rPr>
          <t>Certain items are not included in the transaction count or average ticket estimate, for example the Interline acquisition in F3Q15.</t>
        </r>
      </text>
    </comment>
    <comment ref="R38" authorId="0" shapeId="0">
      <text>
        <r>
          <rPr>
            <b/>
            <sz val="9"/>
            <color indexed="81"/>
            <rFont val="Calibri"/>
            <family val="2"/>
          </rPr>
          <t>MGMT predicts a 4.9% increase in comp sales</t>
        </r>
      </text>
    </comment>
    <comment ref="O45" authorId="0" shapeId="0">
      <text>
        <r>
          <rPr>
            <b/>
            <sz val="9"/>
            <color indexed="81"/>
            <rFont val="Calibri"/>
            <family val="2"/>
          </rPr>
          <t>MGMT predicts a 37% tax rate.</t>
        </r>
      </text>
    </comment>
    <comment ref="B48" authorId="1" shapeId="0">
      <text>
        <r>
          <rPr>
            <sz val="9"/>
            <color indexed="81"/>
            <rFont val="Tahoma"/>
            <family val="2"/>
          </rPr>
          <t>Earnings Before Interest, Tax, Depreciation, Amortization, and Operating Rents</t>
        </r>
      </text>
    </comment>
  </commentList>
</comments>
</file>

<file path=xl/sharedStrings.xml><?xml version="1.0" encoding="utf-8"?>
<sst xmlns="http://schemas.openxmlformats.org/spreadsheetml/2006/main" count="323" uniqueCount="194">
  <si>
    <t>(Dollars in millions, except per share data)</t>
  </si>
  <si>
    <t>Multiple Valuation</t>
  </si>
  <si>
    <t>P/E used for valuation</t>
  </si>
  <si>
    <t xml:space="preserve">Segment Data &amp; Income Statement Ratios </t>
  </si>
  <si>
    <t>Basic EPS (GAAP)</t>
  </si>
  <si>
    <t>Diluted EPS (GAAP)</t>
  </si>
  <si>
    <t>Basic shares outstanding (GAAP)</t>
  </si>
  <si>
    <t>Diluted shares outstanding (GAAP)</t>
  </si>
  <si>
    <t>NTM P/E 3-month average</t>
  </si>
  <si>
    <t>NTM P/E 3-month high</t>
  </si>
  <si>
    <t>NTM P/E 3-month low</t>
  </si>
  <si>
    <t>FY 2014</t>
  </si>
  <si>
    <t xml:space="preserve">Plus net cash/(debt) per share </t>
  </si>
  <si>
    <t>Implied P/E 12-month target value</t>
  </si>
  <si>
    <t>Dividend per share</t>
  </si>
  <si>
    <t>Analysis of share count changes</t>
  </si>
  <si>
    <t>Change in basic shares  (excluding repurchases)</t>
  </si>
  <si>
    <t>Change in diluted shares  (excluding repurchases)</t>
  </si>
  <si>
    <t>Share repurchase assumptions: average price</t>
  </si>
  <si>
    <t>Share repurchase: amount in the period ($M)</t>
  </si>
  <si>
    <t>Shares repurchased (M) [repurchase details are rounded]</t>
  </si>
  <si>
    <t>Cost of revenue</t>
  </si>
  <si>
    <t>Income before income taxes (GAAP)</t>
  </si>
  <si>
    <t>Gross margin (GAAP)</t>
  </si>
  <si>
    <t>Effective income tax rate</t>
  </si>
  <si>
    <t>Operating Income (GAAP)</t>
  </si>
  <si>
    <t>Operating Income Margin (GAAP)</t>
  </si>
  <si>
    <t>Total Operating Expenses (ex cost of revenue)</t>
  </si>
  <si>
    <t>Interest expense</t>
  </si>
  <si>
    <t>Net income (GAAP)</t>
  </si>
  <si>
    <t>($ in millions  unless otherwise noted)</t>
  </si>
  <si>
    <t>Average interest expense</t>
  </si>
  <si>
    <t>Blue cells = Gutenberg® estimates</t>
  </si>
  <si>
    <t>Revenue</t>
  </si>
  <si>
    <t>Provision/(Benefit) for income taxes</t>
  </si>
  <si>
    <t>Ratio Analysis</t>
  </si>
  <si>
    <t>Gross Profit (GAAP)</t>
  </si>
  <si>
    <t>Plus: Interest and other expense</t>
  </si>
  <si>
    <t xml:space="preserve">(a) Multiples are calculated excluding the value of net cash/(debt) and are based on the 3-month average daily share price compared to the consensus EPS estimates for the next twelve month period. </t>
  </si>
  <si>
    <t>FY 2015</t>
  </si>
  <si>
    <t>Implied target price band</t>
  </si>
  <si>
    <t>Mean monthly return</t>
  </si>
  <si>
    <t xml:space="preserve">Standard deviation </t>
  </si>
  <si>
    <t>Implied upper bound</t>
  </si>
  <si>
    <t>Implied Lower bound</t>
  </si>
  <si>
    <t>Risk Estimation Summary (b)</t>
  </si>
  <si>
    <t>Implied P/E target value</t>
  </si>
  <si>
    <t>By obtaining this model you are deemed to have read and agreed to our Terms of Use. Visit our website for details: https://www.gutenbergresearch.com/terms-of-use.html</t>
  </si>
  <si>
    <t>GR</t>
  </si>
  <si>
    <t>Segment Breakdown</t>
  </si>
  <si>
    <t>BALANCE SHEET</t>
  </si>
  <si>
    <t>Assets</t>
  </si>
  <si>
    <t>Cash and equivalents</t>
  </si>
  <si>
    <t xml:space="preserve">Accounts receivables, net </t>
  </si>
  <si>
    <t>Total Current Assets</t>
  </si>
  <si>
    <t xml:space="preserve">Property, plant and equipment, net </t>
  </si>
  <si>
    <t>Total Assets</t>
  </si>
  <si>
    <t>Liabilities</t>
  </si>
  <si>
    <t>Accounts payable</t>
  </si>
  <si>
    <t>Total Current liabilities</t>
  </si>
  <si>
    <t>Other long-term liabilities</t>
  </si>
  <si>
    <t>Total liabilities</t>
  </si>
  <si>
    <t>Equity</t>
  </si>
  <si>
    <t>Total shareholders' equity</t>
  </si>
  <si>
    <t>Total liabilities and equity</t>
  </si>
  <si>
    <t>CASH FLOW STATEMENT</t>
  </si>
  <si>
    <t>Cash flows from operating activities</t>
  </si>
  <si>
    <t>Net income (loss)</t>
  </si>
  <si>
    <t xml:space="preserve">Depreciation and amortization </t>
  </si>
  <si>
    <t>Stock-based comp expense</t>
  </si>
  <si>
    <t>Change in operating assets and liabilities</t>
  </si>
  <si>
    <t>Accounts receivable</t>
  </si>
  <si>
    <t>Prepaid expenses and other current assets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</si>
  <si>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</si>
  <si>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</si>
  <si>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</si>
  <si>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</si>
  <si>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</si>
  <si>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</si>
  <si>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Effect of exchange rate changes on cash</t>
  </si>
  <si>
    <t>Cash and equivalents at beginning of period</t>
  </si>
  <si>
    <t>Cash and equivalents at end of period</t>
  </si>
  <si>
    <t>Net cash/(debt) per diluted share (Non-GAAP)</t>
  </si>
  <si>
    <t>Goodwill</t>
  </si>
  <si>
    <t>Other assets</t>
  </si>
  <si>
    <t>Accrued and other liabilities</t>
  </si>
  <si>
    <t>Commitments and contingencies</t>
  </si>
  <si>
    <t>Preferred stock</t>
  </si>
  <si>
    <t>Additional paid-in capital</t>
  </si>
  <si>
    <t xml:space="preserve">Common stock </t>
  </si>
  <si>
    <t>Accumulated other comprehensive loss</t>
  </si>
  <si>
    <t>Amortization of discount on convertible notes</t>
  </si>
  <si>
    <t>Provisions for bad debt</t>
  </si>
  <si>
    <t>Deferred income taxes</t>
  </si>
  <si>
    <t>Other adjustments</t>
  </si>
  <si>
    <t xml:space="preserve">Purchase of marketable securities </t>
  </si>
  <si>
    <t>Change in restricted cash</t>
  </si>
  <si>
    <t>Other investing activities</t>
  </si>
  <si>
    <t>Proceeds from exercise of stock options</t>
  </si>
  <si>
    <t>Proceeds from issuance of common stock under ESPP</t>
  </si>
  <si>
    <t>Other financing activities</t>
  </si>
  <si>
    <t>May-14</t>
  </si>
  <si>
    <t>Aug-14</t>
  </si>
  <si>
    <t>Nov-14</t>
  </si>
  <si>
    <t>Number of Customer Transactions</t>
  </si>
  <si>
    <t>Depreciation and Amortization</t>
  </si>
  <si>
    <t>Selling, General, and Administrative</t>
  </si>
  <si>
    <t>Interest and other, net</t>
  </si>
  <si>
    <t>Interest and Investment income</t>
  </si>
  <si>
    <t>Comparable Stores Sales Increase</t>
  </si>
  <si>
    <t>Merchandise Inventories</t>
  </si>
  <si>
    <t>Less Accumukated Depreciation and Amortization</t>
  </si>
  <si>
    <t>Sales Taxes Payable</t>
  </si>
  <si>
    <t>Income Taxes Payable</t>
  </si>
  <si>
    <t>Defered Revenue</t>
  </si>
  <si>
    <t>Current Installments of Long-Term Debt</t>
  </si>
  <si>
    <t>Other Accrued Expenses</t>
  </si>
  <si>
    <t>Deferred Income Taxes</t>
  </si>
  <si>
    <t>Long Term Debt, excluding current installments</t>
  </si>
  <si>
    <t>Retained Earnings</t>
  </si>
  <si>
    <t>Treasury Stock</t>
  </si>
  <si>
    <t>Merchandising Inventories</t>
  </si>
  <si>
    <t>Deferred Revenue</t>
  </si>
  <si>
    <t>Capital Expenditures</t>
  </si>
  <si>
    <t>Payments for Businesses Acquired, net</t>
  </si>
  <si>
    <t>-</t>
  </si>
  <si>
    <t>Proceeds from sale of property and equipment</t>
  </si>
  <si>
    <t>Proceeds from long-term borrowings, net of discount</t>
  </si>
  <si>
    <t>Repayments of Long-Term Debt</t>
  </si>
  <si>
    <t>Repurchases of Common Stock</t>
  </si>
  <si>
    <t>Proceeds fromSales of Common Stock</t>
  </si>
  <si>
    <t>Cash Dividends Paid to stockholders</t>
  </si>
  <si>
    <t>Proceeds from Sales of Investments</t>
  </si>
  <si>
    <t>Accounts payable and accrued expenses</t>
  </si>
  <si>
    <t>Proceeds from Short-Term Borrowing</t>
  </si>
  <si>
    <t>Accrued Salaries and other liabilities</t>
  </si>
  <si>
    <t>May-16</t>
  </si>
  <si>
    <t>Aug-16</t>
  </si>
  <si>
    <t>Nov-16</t>
  </si>
  <si>
    <t>May-17</t>
  </si>
  <si>
    <t>Aug-17</t>
  </si>
  <si>
    <t>Nov-17</t>
  </si>
  <si>
    <t>Average ticket (in $)</t>
  </si>
  <si>
    <t xml:space="preserve">   Transaction Growth Rate (QoQ)</t>
  </si>
  <si>
    <t xml:space="preserve">   Average Ticket Growth Rate (QoQ)</t>
  </si>
  <si>
    <t>Average depreciation &amp; Amortization</t>
  </si>
  <si>
    <t>Selling, General, and Administrative as a % of revenue</t>
  </si>
  <si>
    <t>Average investment income</t>
  </si>
  <si>
    <t>The Home Depot Inc Income Statement</t>
  </si>
  <si>
    <t>Net earnings</t>
  </si>
  <si>
    <t>Plus: Taxes</t>
  </si>
  <si>
    <t>Plus: Depreciation &amp; amortization inc dist centers and tool equip</t>
  </si>
  <si>
    <t>Plus: Operating Rents</t>
  </si>
  <si>
    <t>Last 4 QTRs</t>
  </si>
  <si>
    <t xml:space="preserve">Last 4 Quarter EBITDAR  </t>
  </si>
  <si>
    <t>EBITDAR Reconciliation and adjusted Debt Calculation</t>
  </si>
  <si>
    <t>Long-Term Debt</t>
  </si>
  <si>
    <t>Short-Term Debt</t>
  </si>
  <si>
    <t>8x Operating Rents (ex stores no longer operated)</t>
  </si>
  <si>
    <t>Adjusted Debt</t>
  </si>
  <si>
    <t>Adjusted Debt/EBITDAR</t>
  </si>
  <si>
    <t>Jan-15</t>
  </si>
  <si>
    <t>F4Q14</t>
  </si>
  <si>
    <t>F3Q14</t>
  </si>
  <si>
    <t>F2Q14</t>
  </si>
  <si>
    <t>F1Q14</t>
  </si>
  <si>
    <t>Jan-16</t>
  </si>
  <si>
    <t>F1Q15</t>
  </si>
  <si>
    <t>F2Q15</t>
  </si>
  <si>
    <t>F3Q15</t>
  </si>
  <si>
    <t>F4Q15</t>
  </si>
  <si>
    <t>Jan-17</t>
  </si>
  <si>
    <t>F1Q16</t>
  </si>
  <si>
    <t>F2Q16</t>
  </si>
  <si>
    <t>F3Q16</t>
  </si>
  <si>
    <t>F4Q16</t>
  </si>
  <si>
    <t>FY 2016</t>
  </si>
  <si>
    <t>Jan-18</t>
  </si>
  <si>
    <t>F1Q17</t>
  </si>
  <si>
    <t>F2Q17</t>
  </si>
  <si>
    <t>F3Q17</t>
  </si>
  <si>
    <t>F4Q17</t>
  </si>
  <si>
    <t>FY 2017</t>
  </si>
  <si>
    <t>May-15</t>
  </si>
  <si>
    <t>Aug-15</t>
  </si>
  <si>
    <t>Nov-15</t>
  </si>
  <si>
    <t>Online Sales (as a % of Net Sales)</t>
  </si>
  <si>
    <t>Ticket-Transaction reconciling items</t>
  </si>
  <si>
    <t>Sales Growth (YoY):</t>
  </si>
  <si>
    <t>EPS Growth (YoY):</t>
  </si>
  <si>
    <t>Purple cells = Company guidance (last update 5/17/2016)</t>
  </si>
  <si>
    <t>Orange cells = Consensus estimates (updated 7/4/2016)</t>
  </si>
  <si>
    <r>
      <rPr>
        <b/>
        <sz val="11"/>
        <color theme="1"/>
        <rFont val="Calibri"/>
        <family val="2"/>
        <scheme val="minor"/>
      </rPr>
      <t>NOTE:</t>
    </r>
    <r>
      <rPr>
        <sz val="11"/>
        <color theme="1"/>
        <rFont val="Calibri"/>
        <family val="2"/>
        <scheme val="minor"/>
      </rPr>
      <t xml:space="preserve"> There are many different multiples which could be applied to various earnings metrics, each of which result in different valuations. This calculation is for demonstration only. Please refer to our disclosures for important details.  Our Multiple valuation metrics are kept constant at certain points during each quarter to isolate the impact from changes in earnings estimates.   </t>
    </r>
    <r>
      <rPr>
        <b/>
        <sz val="11"/>
        <color theme="3"/>
        <rFont val="Calibri"/>
        <family val="2"/>
        <scheme val="minor"/>
      </rPr>
      <t xml:space="preserve">The multiple  in this section was last updated on 7/4/2016. </t>
    </r>
  </si>
  <si>
    <r>
      <t xml:space="preserve">(b)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on our website GutenbergResearch.com. </t>
    </r>
    <r>
      <rPr>
        <b/>
        <sz val="11"/>
        <color theme="4" tint="-0.499984740745262"/>
        <rFont val="Calibri"/>
        <family val="2"/>
        <scheme val="minor"/>
      </rPr>
      <t xml:space="preserve">The mean &amp; standard deviation in this section were last updated on 7/4/2016.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</si>
</sst>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quot;$&quot;#,##0"/>
    <numFmt numFmtId="165" formatCode="_-&quot;$&quot;* #,##0_-;\-&quot;$&quot;* #,##0_-;_-&quot;$&quot;* &quot;-&quot;_-;_-@_-"/>
    <numFmt numFmtId="166" formatCode="_-&quot;$&quot;* #,##0.00_-;\-&quot;$&quot;* #,##0.00_-;_-&quot;$&quot;* &quot;-&quot;??_-;_-@_-"/>
    <numFmt numFmtId="167" formatCode="_(* #,##0.0_);_(* \(#,##0.0\);_(* &quot;-&quot;??_);_(@_)"/>
    <numFmt numFmtId="168" formatCode="_(* #,##0_);_(* \(#,##0\);_(* &quot;-&quot;??_);_(@_)"/>
    <numFmt numFmtId="169" formatCode="0.0%"/>
    <numFmt numFmtId="170" formatCode="0.0\x"/>
    <numFmt numFmtId="171" formatCode="_(* #,##0.000_);_(* \(#,##0.000\);_(* &quot;-&quot;??_);_(@_)"/>
    <numFmt numFmtId="172" formatCode="#,##0.0_);\(#,##0.0\)"/>
    <numFmt numFmtId="173" formatCode="#,##0.0\ ;\(#,##0.0\)"/>
    <numFmt numFmtId="174" formatCode="#,##0\ ;\(#,##0.0\)"/>
    <numFmt numFmtId="175" formatCode="&quot;$&quot;0.00_)"/>
    <numFmt numFmtId="176" formatCode="#,##0&quot;%&quot;"/>
    <numFmt numFmtId="177" formatCode="#,##0___);\(#,##0.00\)"/>
    <numFmt numFmtId="178" formatCode="0%;\(0%\)"/>
    <numFmt numFmtId="179" formatCode="_(* #,##0,,_);_(* \(#,##0,,\);_(* &quot;-&quot;_)"/>
    <numFmt numFmtId="180" formatCode="_(* #,##0_);[Red]_(* \(#,##0\);_(* &quot;&quot;&quot;&quot;&quot;&quot;&quot;&quot;\ \-\ &quot;&quot;&quot;&quot;&quot;&quot;&quot;&quot;_);_(@_)"/>
    <numFmt numFmtId="181" formatCode="_(* #,##0,_);[Red]_(* \(#,##0,\);_(* &quot;&quot;&quot;&quot;&quot;&quot;&quot;&quot;\ \-\ &quot;&quot;&quot;&quot;&quot;&quot;&quot;&quot;_);_(@_)"/>
    <numFmt numFmtId="182" formatCode="0%;\(0%\);;"/>
    <numFmt numFmtId="183" formatCode="0%;\(0%\);&quot;-&quot;"/>
    <numFmt numFmtId="184" formatCode="#,##0_);[Red]\(#,##0\);&quot;-&quot;"/>
    <numFmt numFmtId="185" formatCode="*-"/>
    <numFmt numFmtId="186" formatCode="#,##0;\-#,##0;&quot;-&quot;"/>
    <numFmt numFmtId="187" formatCode="_._.&quot;$&quot;* \(#,##0\)_%;_._.&quot;$&quot;* #,##0_)_%;_._.&quot;$&quot;* 0_)_%;_._.@_)_%"/>
    <numFmt numFmtId="188" formatCode="_._.* \(#,##0\)_%;_._.* #,##0_)_%;_._.* 0_)_%;_._.@_)_%"/>
    <numFmt numFmtId="189" formatCode="#,##0;\(#,##0\)"/>
    <numFmt numFmtId="190" formatCode="&quot;SFr.&quot;\ #,##0.00;&quot;SFr.&quot;\ \-#,##0.00"/>
    <numFmt numFmtId="191" formatCode="#,##0.00;\-#,##0.00;&quot;-&quot;"/>
    <numFmt numFmtId="192" formatCode="* #,##0.00_);\(#,##0.00\)"/>
    <numFmt numFmtId="193" formatCode="_([$€-2]* #,##0.00_);_([$€-2]* \(#,##0.00\);_([$€-2]* &quot;-&quot;??_)"/>
    <numFmt numFmtId="194" formatCode="0.0_)\%;\(0.0\)\%;0.0_)\%;@_)_%"/>
    <numFmt numFmtId="195" formatCode="#,##0.0_)_%;\(#,##0.0\)_%;0.0_)_%;@_)_%"/>
    <numFmt numFmtId="196" formatCode="#,##0.0_);\(#,##0.0\);#,##0.0_);@_)"/>
    <numFmt numFmtId="197" formatCode="&quot;$&quot;_(#,##0.00_);&quot;$&quot;\(#,##0.00\);&quot;$&quot;_(0.00_);@_)"/>
    <numFmt numFmtId="198" formatCode="#,##0.00_);\(#,##0.00\);0.00_);@_)"/>
    <numFmt numFmtId="199" formatCode="\€_(#,##0.00_);\€\(#,##0.00\);\€_(0.00_);@_)"/>
    <numFmt numFmtId="200" formatCode="#,##0_)\x;\(#,##0\)\x;0_)\x;@_)_x"/>
    <numFmt numFmtId="201" formatCode="#,##0_)_x;\(#,##0\)_x;0_)_x;@_)_x"/>
    <numFmt numFmtId="202" formatCode="#,##0.0000;\-#,##0.0000"/>
    <numFmt numFmtId="203" formatCode="#,##0.000000;\-#,##0.000000"/>
    <numFmt numFmtId="204" formatCode="#,##0.0;\-#,##0.0"/>
    <numFmt numFmtId="205" formatCode="#,##0.000;\-#,##0.000"/>
    <numFmt numFmtId="206" formatCode="#,##0.00000;\-#,##0.00000"/>
    <numFmt numFmtId="207" formatCode="#,##0.0000000;\-#,##0.0000000"/>
    <numFmt numFmtId="208" formatCode="#,##0.00000000;\-#,##0.00000000"/>
    <numFmt numFmtId="209" formatCode="#,##0.000000000;\-#,##0.000000000"/>
    <numFmt numFmtId="210" formatCode="#,##0.0000000000;\-#,##0.0000000000"/>
    <numFmt numFmtId="211" formatCode="_-* #,##0\ _D_M_-;\-* #,##0\ _D_M_-;_-* &quot;-&quot;\ _D_M_-;_-@_-"/>
    <numFmt numFmtId="212" formatCode="_-* #,##0.00\ _D_M_-;\-* #,##0.00\ _D_M_-;_-* &quot;-&quot;??\ _D_M_-;_-@_-"/>
    <numFmt numFmtId="213" formatCode="_-* #,##0\ &quot;DM&quot;_-;\-* #,##0\ &quot;DM&quot;_-;_-* &quot;-&quot;\ &quot;DM&quot;_-;_-@_-"/>
    <numFmt numFmtId="214" formatCode="_-* #,##0.00\ &quot;DM&quot;_-;\-* #,##0.00\ &quot;DM&quot;_-;_-* &quot;-&quot;??\ &quot;DM&quot;_-;_-@_-"/>
    <numFmt numFmtId="215" formatCode="0.0"/>
    <numFmt numFmtId="216" formatCode="0.000000"/>
    <numFmt numFmtId="217" formatCode="&quot;£&quot;#,##0;[Red]\-&quot;£&quot;#,##0"/>
    <numFmt numFmtId="218" formatCode="0.00_);[Red]\(0.00\)"/>
    <numFmt numFmtId="219" formatCode="&quot;£&quot;#,##0.00;[Red]\-&quot;£&quot;#,##0.00"/>
    <numFmt numFmtId="220" formatCode="_(* #,##0.000_);_(* \(#,##0.000\);_(* &quot;-&quot;_);_(@_)"/>
    <numFmt numFmtId="221" formatCode="_-&quot;£&quot;* #,##0_-;\-&quot;£&quot;* #,##0_-;_-&quot;£&quot;* &quot;-&quot;_-;_-@_-"/>
    <numFmt numFmtId="222" formatCode="_(&quot;$&quot;* #,##0,_);_(&quot;$&quot;* \(#,##0,\);_(&quot;$&quot;* &quot;-&quot;_);_(@_)"/>
    <numFmt numFmtId="223" formatCode="&quot;SFr.&quot;#,##0;[Red]&quot;SFr.&quot;\-#,##0"/>
    <numFmt numFmtId="224" formatCode="_-&quot;£&quot;* #,##0.00_-;\-&quot;£&quot;* #,##0.00_-;_-&quot;£&quot;* &quot;-&quot;??_-;_-@_-"/>
    <numFmt numFmtId="225" formatCode="#,##0;[Red]\(#,##0\)"/>
    <numFmt numFmtId="226" formatCode="0\x"/>
  </numFmts>
  <fonts count="75" x14ac:knownFonts="1">
    <font>
      <sz val="11"/>
      <color theme="1"/>
      <name val="Calibri"/>
      <family val="2"/>
      <scheme val="minor"/>
    </font>
    <font>
      <sz val="11"/>
      <color theme="1"/>
      <name val="Calibri"/>
      <family val="2"/>
      <scheme val="minor"/>
    </font>
    <font>
      <b/>
      <sz val="11"/>
      <color theme="1"/>
      <name val="Calibri"/>
      <family val="2"/>
      <scheme val="minor"/>
    </font>
    <font>
      <b/>
      <u val="singleAccounting"/>
      <sz val="11"/>
      <color theme="1"/>
      <name val="Calibri"/>
      <family val="2"/>
      <scheme val="minor"/>
    </font>
    <font>
      <u val="singleAccounting"/>
      <sz val="11"/>
      <color theme="1"/>
      <name val="Calibri"/>
      <family val="2"/>
      <scheme val="minor"/>
    </font>
    <font>
      <sz val="11"/>
      <color rgb="FF7030A0"/>
      <name val="Calibri"/>
      <family val="2"/>
      <scheme val="minor"/>
    </font>
    <font>
      <sz val="11"/>
      <color theme="3"/>
      <name val="Calibri"/>
      <family val="2"/>
      <scheme val="minor"/>
    </font>
    <font>
      <sz val="11"/>
      <color theme="9" tint="-0.499984740745262"/>
      <name val="Calibri"/>
      <family val="2"/>
      <scheme val="minor"/>
    </font>
    <font>
      <b/>
      <u/>
      <sz val="11"/>
      <color theme="1"/>
      <name val="Calibri"/>
      <family val="2"/>
      <scheme val="minor"/>
    </font>
    <font>
      <sz val="10"/>
      <name val="Arial"/>
      <family val="2"/>
    </font>
    <font>
      <sz val="11"/>
      <name val="Calibri"/>
      <family val="2"/>
      <scheme val="minor"/>
    </font>
    <font>
      <u val="singleAccounting"/>
      <sz val="11"/>
      <name val="Calibri"/>
      <family val="2"/>
      <scheme val="minor"/>
    </font>
    <font>
      <b/>
      <sz val="11"/>
      <name val="Calibri"/>
      <family val="2"/>
      <scheme val="minor"/>
    </font>
    <font>
      <sz val="11"/>
      <color rgb="FFFF0000"/>
      <name val="Calibri"/>
      <family val="2"/>
      <scheme val="minor"/>
    </font>
    <font>
      <sz val="11"/>
      <name val="Calibri"/>
      <family val="2"/>
    </font>
    <font>
      <b/>
      <u/>
      <sz val="12"/>
      <color theme="0" tint="-0.14999847407452621"/>
      <name val="Calibri"/>
      <family val="2"/>
      <scheme val="minor"/>
    </font>
    <font>
      <b/>
      <sz val="11"/>
      <color theme="0" tint="-0.14999847407452621"/>
      <name val="Calibri"/>
      <family val="2"/>
      <scheme val="minor"/>
    </font>
    <font>
      <sz val="10"/>
      <color theme="0" tint="-0.14999847407452621"/>
      <name val="Calibri"/>
      <family val="2"/>
      <scheme val="minor"/>
    </font>
    <font>
      <b/>
      <u val="singleAccounting"/>
      <sz val="11"/>
      <color theme="0" tint="-0.14999847407452621"/>
      <name val="Calibri"/>
      <family val="2"/>
      <scheme val="minor"/>
    </font>
    <font>
      <b/>
      <u val="singleAccounting"/>
      <sz val="11"/>
      <name val="Calibri"/>
      <family val="2"/>
      <scheme val="minor"/>
    </font>
    <font>
      <b/>
      <sz val="11"/>
      <color theme="3"/>
      <name val="Calibri"/>
      <family val="2"/>
      <scheme val="minor"/>
    </font>
    <font>
      <sz val="10"/>
      <name val="Tms Rmn"/>
    </font>
    <font>
      <sz val="10"/>
      <name val="Helv"/>
    </font>
    <font>
      <sz val="10"/>
      <color indexed="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8"/>
      <name val="Helv"/>
    </font>
    <font>
      <b/>
      <sz val="12"/>
      <name val="Tms Rmn"/>
    </font>
    <font>
      <b/>
      <i/>
      <sz val="12"/>
      <name val="Tms Rmn"/>
    </font>
    <font>
      <b/>
      <sz val="10"/>
      <name val="MS Sans Serif"/>
      <family val="2"/>
    </font>
    <font>
      <b/>
      <sz val="11"/>
      <name val="Arial"/>
      <family val="2"/>
    </font>
    <font>
      <b/>
      <sz val="10"/>
      <name val="Arial"/>
      <family val="2"/>
    </font>
    <font>
      <sz val="10"/>
      <name val="MS Sans Serif"/>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0"/>
      <color indexed="10"/>
      <name val="Arial"/>
      <family val="2"/>
    </font>
    <font>
      <sz val="8"/>
      <name val="Tms Rmn"/>
    </font>
    <font>
      <sz val="12"/>
      <name val="Times New Roman"/>
      <family val="1"/>
    </font>
    <font>
      <sz val="7"/>
      <name val="Small Fonts"/>
      <family val="2"/>
    </font>
    <font>
      <b/>
      <u/>
      <sz val="26"/>
      <color indexed="9"/>
      <name val="Arial"/>
      <family val="2"/>
    </font>
    <font>
      <sz val="12"/>
      <name val="Helv"/>
    </font>
    <font>
      <sz val="10"/>
      <color theme="1"/>
      <name val="Arial"/>
      <family val="2"/>
    </font>
    <font>
      <sz val="10"/>
      <name val="Helv"/>
      <family val="2"/>
    </font>
    <font>
      <u/>
      <sz val="11"/>
      <color theme="10"/>
      <name val="Calibri"/>
      <family val="2"/>
    </font>
    <font>
      <u/>
      <sz val="10"/>
      <color theme="10"/>
      <name val="Trebuchet MS"/>
      <family val="2"/>
    </font>
    <font>
      <sz val="12"/>
      <name val="Helv"/>
      <family val="2"/>
    </font>
    <font>
      <sz val="10"/>
      <name val="Trebuchet MS"/>
      <family val="2"/>
    </font>
    <font>
      <sz val="10"/>
      <name val="Tms Rmn"/>
      <family val="1"/>
    </font>
    <font>
      <sz val="11"/>
      <color indexed="8"/>
      <name val="Calibri"/>
      <family val="2"/>
    </font>
    <font>
      <u/>
      <sz val="10"/>
      <color indexed="12"/>
      <name val="Arial"/>
      <family val="2"/>
    </font>
    <font>
      <b/>
      <sz val="10"/>
      <color rgb="FF404040"/>
      <name val="Segoe UI"/>
      <family val="2"/>
    </font>
    <font>
      <sz val="10"/>
      <color rgb="FF404040"/>
      <name val="Segoe UI"/>
      <family val="2"/>
    </font>
    <font>
      <b/>
      <sz val="11"/>
      <color theme="1" tint="0.14999847407452621"/>
      <name val="Calibri"/>
      <family val="2"/>
      <scheme val="minor"/>
    </font>
    <font>
      <b/>
      <u val="singleAccounting"/>
      <sz val="11"/>
      <color theme="1" tint="0.14999847407452621"/>
      <name val="Calibri"/>
      <family val="2"/>
      <scheme val="minor"/>
    </font>
    <font>
      <b/>
      <sz val="11"/>
      <color theme="4" tint="-0.499984740745262"/>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sz val="9"/>
      <color indexed="81"/>
      <name val="Calibri"/>
      <family val="2"/>
    </font>
    <font>
      <b/>
      <sz val="9"/>
      <color indexed="81"/>
      <name val="Calibri"/>
      <family val="2"/>
    </font>
    <font>
      <sz val="9"/>
      <color indexed="81"/>
      <name val="Tahoma"/>
      <family val="2"/>
    </font>
    <font>
      <i/>
      <sz val="11"/>
      <color theme="1"/>
      <name val="Calibri"/>
      <family val="2"/>
      <scheme val="minor"/>
    </font>
  </fonts>
  <fills count="13">
    <fill>
      <patternFill patternType="none"/>
    </fill>
    <fill>
      <patternFill patternType="gray125"/>
    </fill>
    <fill>
      <patternFill patternType="solid">
        <fgColor theme="4" tint="0.39997558519241921"/>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7" tint="0.39997558519241921"/>
        <bgColor indexed="64"/>
      </patternFill>
    </fill>
    <fill>
      <patternFill patternType="solid">
        <fgColor theme="5" tint="0.59999389629810485"/>
        <bgColor indexed="64"/>
      </patternFill>
    </fill>
  </fills>
  <borders count="34">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right/>
      <top style="hair">
        <color indexed="8"/>
      </top>
      <bottom style="hair">
        <color indexed="8"/>
      </bottom>
      <diagonal/>
    </border>
    <border>
      <left/>
      <right/>
      <top/>
      <bottom style="medium">
        <color indexed="18"/>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top style="thin">
        <color auto="1"/>
      </top>
      <bottom style="double">
        <color auto="1"/>
      </bottom>
      <diagonal/>
    </border>
    <border>
      <left/>
      <right/>
      <top/>
      <bottom style="double">
        <color auto="1"/>
      </bottom>
      <diagonal/>
    </border>
    <border>
      <left style="thin">
        <color auto="1"/>
      </left>
      <right style="thin">
        <color auto="1"/>
      </right>
      <top/>
      <bottom style="dotted">
        <color auto="1"/>
      </bottom>
      <diagonal/>
    </border>
    <border>
      <left style="thin">
        <color auto="1"/>
      </left>
      <right/>
      <top/>
      <bottom style="dotted">
        <color auto="1"/>
      </bottom>
      <diagonal/>
    </border>
    <border>
      <left/>
      <right style="thin">
        <color auto="1"/>
      </right>
      <top/>
      <bottom style="dotted">
        <color auto="1"/>
      </bottom>
      <diagonal/>
    </border>
    <border>
      <left/>
      <right/>
      <top/>
      <bottom style="dotted">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dotted">
        <color auto="1"/>
      </top>
      <bottom/>
      <diagonal/>
    </border>
  </borders>
  <cellStyleXfs count="345">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lignment vertical="top"/>
    </xf>
    <xf numFmtId="0" fontId="14" fillId="0" borderId="0"/>
    <xf numFmtId="43" fontId="14" fillId="0" borderId="0" applyFont="0" applyFill="0" applyBorder="0" applyAlignment="0" applyProtection="0"/>
    <xf numFmtId="37" fontId="21" fillId="0" borderId="0"/>
    <xf numFmtId="194" fontId="9" fillId="0" borderId="0" applyFont="0" applyFill="0" applyBorder="0" applyAlignment="0" applyProtection="0"/>
    <xf numFmtId="195" fontId="9" fillId="0" borderId="0" applyFont="0" applyFill="0" applyBorder="0" applyAlignment="0" applyProtection="0"/>
    <xf numFmtId="196" fontId="9" fillId="0" borderId="0" applyFont="0" applyFill="0" applyBorder="0" applyAlignment="0" applyProtection="0"/>
    <xf numFmtId="197" fontId="9" fillId="0" borderId="0" applyFont="0" applyFill="0" applyBorder="0" applyAlignment="0" applyProtection="0"/>
    <xf numFmtId="198" fontId="9" fillId="0" borderId="0" applyFont="0" applyFill="0" applyBorder="0" applyAlignment="0" applyProtection="0"/>
    <xf numFmtId="199" fontId="9"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 fillId="6" borderId="0" applyNumberFormat="0" applyFont="0" applyAlignment="0" applyProtection="0"/>
    <xf numFmtId="200" fontId="9" fillId="0" borderId="0" applyFont="0" applyFill="0" applyBorder="0" applyAlignment="0" applyProtection="0"/>
    <xf numFmtId="201" fontId="9" fillId="0" borderId="0" applyFont="0" applyFill="0" applyBorder="0" applyProtection="0">
      <alignment horizontal="right"/>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6" fillId="0" borderId="18" applyNumberFormat="0" applyFill="0" applyAlignment="0" applyProtection="0"/>
    <xf numFmtId="0" fontId="27" fillId="0" borderId="19" applyNumberFormat="0" applyFill="0" applyProtection="0">
      <alignment horizontal="center"/>
    </xf>
    <xf numFmtId="0" fontId="27" fillId="0" borderId="0" applyNumberFormat="0" applyFill="0" applyBorder="0" applyProtection="0">
      <alignment horizontal="left"/>
    </xf>
    <xf numFmtId="0" fontId="28" fillId="0" borderId="0" applyNumberFormat="0" applyFill="0" applyBorder="0" applyProtection="0">
      <alignment horizontal="centerContinuous"/>
    </xf>
    <xf numFmtId="0" fontId="50" fillId="0" borderId="0" applyNumberFormat="0" applyFill="0" applyBorder="0" applyAlignment="0" applyProtection="0"/>
    <xf numFmtId="192" fontId="29" fillId="0" borderId="0">
      <alignment horizontal="center"/>
    </xf>
    <xf numFmtId="37" fontId="30" fillId="0" borderId="0"/>
    <xf numFmtId="37" fontId="31" fillId="0" borderId="0"/>
    <xf numFmtId="164" fontId="32"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32"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32"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32"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32" fillId="0" borderId="2" applyAlignment="0" applyProtection="0"/>
    <xf numFmtId="164" fontId="32" fillId="0" borderId="2" applyAlignment="0" applyProtection="0"/>
    <xf numFmtId="164" fontId="32" fillId="0" borderId="2" applyAlignment="0" applyProtection="0"/>
    <xf numFmtId="164" fontId="32" fillId="0" borderId="2" applyAlignment="0" applyProtection="0"/>
    <xf numFmtId="164" fontId="1" fillId="0" borderId="0" applyAlignment="0" applyProtection="0"/>
    <xf numFmtId="186" fontId="23" fillId="0" borderId="0" applyFill="0" applyBorder="0" applyAlignment="0"/>
    <xf numFmtId="179" fontId="9" fillId="0" borderId="0" applyFill="0" applyBorder="0" applyAlignment="0"/>
    <xf numFmtId="180" fontId="9" fillId="0" borderId="0" applyFill="0" applyBorder="0" applyAlignment="0"/>
    <xf numFmtId="181" fontId="9" fillId="0" borderId="0" applyFill="0" applyBorder="0" applyAlignment="0"/>
    <xf numFmtId="182" fontId="9" fillId="0" borderId="0" applyFill="0" applyBorder="0" applyAlignment="0"/>
    <xf numFmtId="186" fontId="23" fillId="0" borderId="0" applyFill="0" applyBorder="0" applyAlignment="0"/>
    <xf numFmtId="183" fontId="9" fillId="0" borderId="0" applyFill="0" applyBorder="0" applyAlignment="0"/>
    <xf numFmtId="179" fontId="9" fillId="0" borderId="0" applyFill="0" applyBorder="0" applyAlignment="0"/>
    <xf numFmtId="0" fontId="33" fillId="0" borderId="0" applyFill="0" applyBorder="0" applyProtection="0">
      <alignment horizontal="center"/>
      <protection locked="0"/>
    </xf>
    <xf numFmtId="0" fontId="22" fillId="0" borderId="0"/>
    <xf numFmtId="174" fontId="22" fillId="0" borderId="7"/>
    <xf numFmtId="215" fontId="1" fillId="0" borderId="0"/>
    <xf numFmtId="215" fontId="1" fillId="0" borderId="0"/>
    <xf numFmtId="186" fontId="9" fillId="0" borderId="0" applyFont="0" applyFill="0" applyBorder="0" applyAlignment="0" applyProtection="0"/>
    <xf numFmtId="4" fontId="22" fillId="0" borderId="0" applyFont="0" applyFill="0" applyBorder="0" applyAlignment="0" applyProtection="0"/>
    <xf numFmtId="43" fontId="9" fillId="0" borderId="0" applyFont="0" applyFill="0" applyBorder="0" applyAlignment="0" applyProtection="0">
      <alignment wrapText="1"/>
    </xf>
    <xf numFmtId="43" fontId="9" fillId="0" borderId="0" applyFont="0" applyFill="0" applyBorder="0" applyAlignment="0" applyProtection="0">
      <alignment wrapText="1"/>
    </xf>
    <xf numFmtId="43" fontId="9" fillId="0" borderId="0" applyFont="0" applyFill="0" applyBorder="0" applyAlignment="0" applyProtection="0">
      <alignment wrapText="1"/>
    </xf>
    <xf numFmtId="4" fontId="22"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xf numFmtId="0" fontId="37" fillId="0" borderId="0" applyFill="0" applyBorder="0" applyAlignment="0" applyProtection="0">
      <protection locked="0"/>
    </xf>
    <xf numFmtId="191" fontId="9" fillId="0" borderId="0">
      <alignment horizontal="center"/>
    </xf>
    <xf numFmtId="188" fontId="38" fillId="0" borderId="0" applyFill="0" applyBorder="0" applyProtection="0"/>
    <xf numFmtId="187" fontId="39" fillId="0" borderId="0" applyFont="0" applyFill="0" applyBorder="0" applyAlignment="0" applyProtection="0"/>
    <xf numFmtId="175" fontId="40" fillId="0" borderId="20">
      <protection hidden="1"/>
    </xf>
    <xf numFmtId="179" fontId="9" fillId="0" borderId="0" applyFont="0" applyFill="0" applyBorder="0" applyAlignment="0" applyProtection="0"/>
    <xf numFmtId="8" fontId="1" fillId="0" borderId="0" applyFont="0" applyFill="0" applyBorder="0" applyAlignment="0" applyProtection="0"/>
    <xf numFmtId="44" fontId="9" fillId="0" borderId="0" applyFont="0" applyFill="0" applyBorder="0" applyAlignment="0" applyProtection="0"/>
    <xf numFmtId="0" fontId="36" fillId="0" borderId="0" applyNumberFormat="0" applyFill="0" applyBorder="0" applyAlignment="0" applyProtection="0"/>
    <xf numFmtId="1" fontId="29" fillId="0" borderId="0"/>
    <xf numFmtId="14" fontId="41" fillId="0" borderId="0">
      <alignment horizontal="center"/>
    </xf>
    <xf numFmtId="14" fontId="23" fillId="0" borderId="0" applyFill="0" applyBorder="0" applyAlignment="0"/>
    <xf numFmtId="15" fontId="42" fillId="7" borderId="0" applyNumberFormat="0" applyFont="0" applyFill="0" applyBorder="0" applyAlignment="0">
      <alignment horizontal="center" wrapText="1"/>
    </xf>
    <xf numFmtId="0" fontId="23" fillId="0" borderId="21" applyNumberFormat="0" applyFill="0" applyBorder="0" applyAlignment="0" applyProtection="0"/>
    <xf numFmtId="190" fontId="22" fillId="0" borderId="0" applyFont="0" applyFill="0" applyBorder="0" applyAlignment="0" applyProtection="0"/>
    <xf numFmtId="189" fontId="39" fillId="0" borderId="0" applyFont="0" applyFill="0" applyBorder="0" applyAlignment="0" applyProtection="0"/>
    <xf numFmtId="186" fontId="43" fillId="0" borderId="0" applyFill="0" applyBorder="0" applyAlignment="0"/>
    <xf numFmtId="179" fontId="9" fillId="0" borderId="0" applyFill="0" applyBorder="0" applyAlignment="0"/>
    <xf numFmtId="186" fontId="43" fillId="0" borderId="0" applyFill="0" applyBorder="0" applyAlignment="0"/>
    <xf numFmtId="183" fontId="9" fillId="0" borderId="0" applyFill="0" applyBorder="0" applyAlignment="0"/>
    <xf numFmtId="179" fontId="9" fillId="0" borderId="0" applyFill="0" applyBorder="0" applyAlignment="0"/>
    <xf numFmtId="175" fontId="40" fillId="0" borderId="20">
      <protection hidden="1"/>
    </xf>
    <xf numFmtId="193" fontId="9" fillId="0" borderId="0" applyFont="0" applyFill="0" applyBorder="0" applyAlignment="0" applyProtection="0"/>
    <xf numFmtId="38" fontId="44" fillId="7" borderId="0" applyNumberFormat="0" applyBorder="0" applyAlignment="0" applyProtection="0"/>
    <xf numFmtId="0" fontId="45" fillId="0" borderId="22" applyNumberFormat="0" applyAlignment="0" applyProtection="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1" fillId="0" borderId="0">
      <alignment horizontal="left" vertical="center"/>
    </xf>
    <xf numFmtId="14" fontId="34" fillId="8" borderId="20">
      <alignment horizontal="center" vertical="center" wrapText="1"/>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3" fillId="0" borderId="0" applyFill="0" applyAlignment="0" applyProtection="0">
      <protection locked="0"/>
    </xf>
    <xf numFmtId="0" fontId="33" fillId="0" borderId="7" applyFill="0" applyAlignment="0" applyProtection="0">
      <protection locked="0"/>
    </xf>
    <xf numFmtId="10" fontId="44" fillId="9" borderId="21" applyNumberFormat="0" applyBorder="0" applyAlignment="0" applyProtection="0"/>
    <xf numFmtId="186" fontId="46" fillId="0" borderId="0" applyFill="0" applyBorder="0" applyAlignment="0"/>
    <xf numFmtId="179" fontId="9" fillId="0" borderId="0" applyFill="0" applyBorder="0" applyAlignment="0"/>
    <xf numFmtId="186" fontId="46" fillId="0" borderId="0" applyFill="0" applyBorder="0" applyAlignment="0"/>
    <xf numFmtId="183" fontId="9" fillId="0" borderId="0" applyFill="0" applyBorder="0" applyAlignment="0"/>
    <xf numFmtId="179" fontId="9" fillId="0" borderId="0" applyFill="0" applyBorder="0" applyAlignment="0"/>
    <xf numFmtId="211" fontId="9" fillId="0" borderId="0" applyFont="0" applyFill="0" applyBorder="0" applyAlignment="0" applyProtection="0"/>
    <xf numFmtId="212" fontId="9" fillId="0" borderId="0" applyFon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213" fontId="9" fillId="0" borderId="0" applyFont="0" applyFill="0" applyBorder="0" applyAlignment="0" applyProtection="0"/>
    <xf numFmtId="214" fontId="9" fillId="0" borderId="0" applyFon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172" fontId="29" fillId="0" borderId="7"/>
    <xf numFmtId="37" fontId="51" fillId="0" borderId="0"/>
    <xf numFmtId="173" fontId="22" fillId="0" borderId="0"/>
    <xf numFmtId="173" fontId="1" fillId="0" borderId="0"/>
    <xf numFmtId="178" fontId="9" fillId="0" borderId="0"/>
    <xf numFmtId="37" fontId="21" fillId="0" borderId="0"/>
    <xf numFmtId="0" fontId="9" fillId="0" borderId="0"/>
    <xf numFmtId="0" fontId="1" fillId="0" borderId="0"/>
    <xf numFmtId="0" fontId="9" fillId="0" borderId="0"/>
    <xf numFmtId="0" fontId="9" fillId="0" borderId="0"/>
    <xf numFmtId="0" fontId="9" fillId="0" borderId="0">
      <alignment wrapText="1"/>
    </xf>
    <xf numFmtId="0" fontId="9" fillId="0" borderId="0"/>
    <xf numFmtId="37" fontId="21" fillId="0" borderId="0"/>
    <xf numFmtId="37" fontId="1" fillId="0" borderId="0"/>
    <xf numFmtId="37" fontId="1" fillId="0" borderId="0"/>
    <xf numFmtId="37" fontId="9" fillId="0" borderId="0"/>
    <xf numFmtId="210" fontId="9" fillId="0" borderId="0"/>
    <xf numFmtId="204" fontId="9" fillId="0" borderId="0"/>
    <xf numFmtId="39" fontId="9" fillId="0" borderId="0"/>
    <xf numFmtId="205" fontId="9" fillId="0" borderId="0"/>
    <xf numFmtId="202" fontId="9" fillId="0" borderId="0"/>
    <xf numFmtId="206" fontId="9" fillId="0" borderId="0"/>
    <xf numFmtId="203" fontId="9" fillId="0" borderId="0"/>
    <xf numFmtId="207" fontId="9" fillId="0" borderId="0"/>
    <xf numFmtId="208" fontId="9" fillId="0" borderId="0"/>
    <xf numFmtId="209" fontId="9" fillId="0" borderId="0"/>
    <xf numFmtId="177" fontId="35" fillId="0" borderId="0"/>
    <xf numFmtId="176" fontId="40" fillId="0" borderId="0">
      <protection hidden="1"/>
    </xf>
    <xf numFmtId="182" fontId="9" fillId="0" borderId="0" applyFont="0" applyFill="0" applyBorder="0" applyAlignment="0" applyProtection="0"/>
    <xf numFmtId="178" fontId="9" fillId="0" borderId="0" applyFont="0" applyFill="0" applyBorder="0" applyAlignment="0" applyProtection="0"/>
    <xf numFmtId="10"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23" applyNumberFormat="0" applyBorder="0"/>
    <xf numFmtId="172" fontId="29" fillId="0" borderId="0"/>
    <xf numFmtId="0" fontId="52" fillId="10" borderId="24" applyNumberFormat="0" applyFont="0" applyFill="0" applyAlignment="0">
      <alignment horizontal="center" vertical="center"/>
    </xf>
    <xf numFmtId="186" fontId="47" fillId="0" borderId="0" applyFill="0" applyBorder="0" applyAlignment="0"/>
    <xf numFmtId="179" fontId="9" fillId="0" borderId="0" applyFill="0" applyBorder="0" applyAlignment="0"/>
    <xf numFmtId="186" fontId="47" fillId="0" borderId="0" applyFill="0" applyBorder="0" applyAlignment="0"/>
    <xf numFmtId="183" fontId="9" fillId="0" borderId="0" applyFill="0" applyBorder="0" applyAlignment="0"/>
    <xf numFmtId="179" fontId="9" fillId="0" borderId="0" applyFill="0" applyBorder="0" applyAlignment="0"/>
    <xf numFmtId="37" fontId="21" fillId="0" borderId="25"/>
    <xf numFmtId="0" fontId="53" fillId="0" borderId="0"/>
    <xf numFmtId="0" fontId="22" fillId="0" borderId="0"/>
    <xf numFmtId="0" fontId="35" fillId="0" borderId="0"/>
    <xf numFmtId="49" fontId="23" fillId="0" borderId="0" applyFill="0" applyBorder="0" applyAlignment="0"/>
    <xf numFmtId="184" fontId="9" fillId="0" borderId="0" applyFill="0" applyBorder="0" applyAlignment="0"/>
    <xf numFmtId="185" fontId="9" fillId="0" borderId="0" applyFill="0" applyBorder="0" applyAlignment="0"/>
    <xf numFmtId="49" fontId="9" fillId="0" borderId="0"/>
    <xf numFmtId="0" fontId="48" fillId="0" borderId="0" applyFill="0" applyBorder="0" applyProtection="0">
      <alignment horizontal="left" vertical="top"/>
    </xf>
    <xf numFmtId="40" fontId="49"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7" fontId="21" fillId="0" borderId="7"/>
    <xf numFmtId="37" fontId="21" fillId="0" borderId="26"/>
    <xf numFmtId="165"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37" fontId="9" fillId="0" borderId="0"/>
    <xf numFmtId="39" fontId="9" fillId="0" borderId="0"/>
    <xf numFmtId="0" fontId="55" fillId="0" borderId="0"/>
    <xf numFmtId="216" fontId="9" fillId="0" borderId="0" applyFill="0" applyBorder="0" applyAlignment="0"/>
    <xf numFmtId="167" fontId="9" fillId="0" borderId="0" applyFill="0" applyBorder="0" applyAlignment="0"/>
    <xf numFmtId="217" fontId="9" fillId="0" borderId="0" applyFill="0" applyBorder="0" applyAlignment="0"/>
    <xf numFmtId="218" fontId="9" fillId="0" borderId="0" applyFill="0" applyBorder="0" applyAlignment="0"/>
    <xf numFmtId="219" fontId="9" fillId="0" borderId="0" applyFill="0" applyBorder="0" applyAlignment="0"/>
    <xf numFmtId="220" fontId="9" fillId="0" borderId="0" applyFill="0" applyBorder="0" applyAlignment="0"/>
    <xf numFmtId="221" fontId="9" fillId="0" borderId="0" applyFill="0" applyBorder="0" applyAlignment="0"/>
    <xf numFmtId="167" fontId="9" fillId="0" borderId="0" applyFill="0" applyBorder="0" applyAlignment="0"/>
    <xf numFmtId="222" fontId="9" fillId="0" borderId="0"/>
    <xf numFmtId="222" fontId="9" fillId="0" borderId="0"/>
    <xf numFmtId="222" fontId="9" fillId="0" borderId="0"/>
    <xf numFmtId="222" fontId="9" fillId="0" borderId="0"/>
    <xf numFmtId="222" fontId="9" fillId="0" borderId="0"/>
    <xf numFmtId="222" fontId="9" fillId="0" borderId="0"/>
    <xf numFmtId="222" fontId="9" fillId="0" borderId="0"/>
    <xf numFmtId="222" fontId="9" fillId="0" borderId="0"/>
    <xf numFmtId="0" fontId="55" fillId="0" borderId="7"/>
    <xf numFmtId="220"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167" fontId="9" fillId="0" borderId="0" applyFont="0" applyFill="0" applyBorder="0" applyAlignment="0" applyProtection="0"/>
    <xf numFmtId="220" fontId="9" fillId="0" borderId="0" applyFill="0" applyBorder="0" applyAlignment="0"/>
    <xf numFmtId="167" fontId="9" fillId="0" borderId="0" applyFill="0" applyBorder="0" applyAlignment="0"/>
    <xf numFmtId="220" fontId="9" fillId="0" borderId="0" applyFill="0" applyBorder="0" applyAlignment="0"/>
    <xf numFmtId="221" fontId="9" fillId="0" borderId="0" applyFill="0" applyBorder="0" applyAlignment="0"/>
    <xf numFmtId="167" fontId="9" fillId="0" borderId="0" applyFill="0" applyBorder="0" applyAlignment="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220" fontId="9" fillId="0" borderId="0" applyFill="0" applyBorder="0" applyAlignment="0"/>
    <xf numFmtId="167" fontId="9" fillId="0" borderId="0" applyFill="0" applyBorder="0" applyAlignment="0"/>
    <xf numFmtId="220" fontId="9" fillId="0" borderId="0" applyFill="0" applyBorder="0" applyAlignment="0"/>
    <xf numFmtId="221" fontId="9" fillId="0" borderId="0" applyFill="0" applyBorder="0" applyAlignment="0"/>
    <xf numFmtId="167" fontId="9" fillId="0" borderId="0" applyFill="0" applyBorder="0" applyAlignment="0"/>
    <xf numFmtId="223" fontId="9" fillId="0" borderId="0"/>
    <xf numFmtId="0" fontId="58" fillId="0" borderId="0"/>
    <xf numFmtId="0" fontId="58" fillId="0" borderId="0"/>
    <xf numFmtId="0" fontId="58" fillId="0" borderId="0"/>
    <xf numFmtId="0" fontId="58" fillId="0" borderId="0"/>
    <xf numFmtId="0" fontId="9" fillId="0" borderId="0">
      <alignment wrapText="1"/>
    </xf>
    <xf numFmtId="0" fontId="59" fillId="0" borderId="0"/>
    <xf numFmtId="0" fontId="1" fillId="0" borderId="0"/>
    <xf numFmtId="0" fontId="1" fillId="0" borderId="0"/>
    <xf numFmtId="0" fontId="9" fillId="0" borderId="0"/>
    <xf numFmtId="0" fontId="1" fillId="0" borderId="0"/>
    <xf numFmtId="0" fontId="54" fillId="0" borderId="0"/>
    <xf numFmtId="0" fontId="1" fillId="0" borderId="0"/>
    <xf numFmtId="0" fontId="9" fillId="0" borderId="0">
      <alignment wrapText="1"/>
    </xf>
    <xf numFmtId="219" fontId="9" fillId="0" borderId="0" applyFont="0" applyFill="0" applyBorder="0" applyAlignment="0" applyProtection="0"/>
    <xf numFmtId="223" fontId="9"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220" fontId="9" fillId="0" borderId="0" applyFill="0" applyBorder="0" applyAlignment="0"/>
    <xf numFmtId="167" fontId="9" fillId="0" borderId="0" applyFill="0" applyBorder="0" applyAlignment="0"/>
    <xf numFmtId="220" fontId="9" fillId="0" borderId="0" applyFill="0" applyBorder="0" applyAlignment="0"/>
    <xf numFmtId="221" fontId="9" fillId="0" borderId="0" applyFill="0" applyBorder="0" applyAlignment="0"/>
    <xf numFmtId="167" fontId="9" fillId="0" borderId="0" applyFill="0" applyBorder="0" applyAlignment="0"/>
    <xf numFmtId="224" fontId="9" fillId="0" borderId="0" applyFill="0" applyBorder="0" applyAlignment="0"/>
    <xf numFmtId="225" fontId="9" fillId="0" borderId="0" applyFill="0" applyBorder="0" applyAlignment="0"/>
    <xf numFmtId="37" fontId="60" fillId="0" borderId="0"/>
    <xf numFmtId="4" fontId="55" fillId="0" borderId="0" applyFont="0" applyFill="0" applyBorder="0" applyAlignment="0" applyProtection="0"/>
    <xf numFmtId="9" fontId="61" fillId="0" borderId="0" applyFont="0" applyFill="0" applyBorder="0" applyAlignment="0" applyProtection="0"/>
    <xf numFmtId="0" fontId="5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9" fontId="61" fillId="0" borderId="0" applyFont="0" applyFill="0" applyBorder="0" applyAlignment="0" applyProtection="0"/>
    <xf numFmtId="37" fontId="64" fillId="0" borderId="20">
      <alignment horizontal="right"/>
      <protection locked="0"/>
    </xf>
    <xf numFmtId="37" fontId="63" fillId="0" borderId="20">
      <alignment horizontal="right"/>
      <protection locked="0"/>
    </xf>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cellStyleXfs>
  <cellXfs count="316">
    <xf numFmtId="0" fontId="0" fillId="0" borderId="0" xfId="0"/>
    <xf numFmtId="167" fontId="0" fillId="0" borderId="0" xfId="1" applyNumberFormat="1" applyFont="1" applyAlignment="1">
      <alignment horizontal="right"/>
    </xf>
    <xf numFmtId="167" fontId="3" fillId="0" borderId="0" xfId="1" quotePrefix="1" applyNumberFormat="1" applyFont="1" applyFill="1" applyBorder="1" applyAlignment="1">
      <alignment horizontal="right"/>
    </xf>
    <xf numFmtId="0" fontId="0" fillId="0" borderId="0" xfId="0" applyAlignment="1">
      <alignment horizontal="right"/>
    </xf>
    <xf numFmtId="0" fontId="0" fillId="0" borderId="3" xfId="0" applyFont="1" applyBorder="1"/>
    <xf numFmtId="9" fontId="6" fillId="0" borderId="0" xfId="2" applyFont="1" applyBorder="1" applyAlignment="1">
      <alignment horizontal="right"/>
    </xf>
    <xf numFmtId="9" fontId="0" fillId="0" borderId="0" xfId="2" applyFont="1" applyBorder="1" applyAlignment="1">
      <alignment horizontal="right"/>
    </xf>
    <xf numFmtId="9" fontId="5" fillId="0" borderId="0" xfId="2" applyFont="1" applyBorder="1" applyAlignment="1">
      <alignment horizontal="right"/>
    </xf>
    <xf numFmtId="9" fontId="7" fillId="0" borderId="0" xfId="2" applyFont="1" applyBorder="1" applyAlignment="1">
      <alignment horizontal="right"/>
    </xf>
    <xf numFmtId="167" fontId="0" fillId="0" borderId="0" xfId="1" applyNumberFormat="1" applyFont="1" applyFill="1" applyAlignment="1">
      <alignment horizontal="right"/>
    </xf>
    <xf numFmtId="43" fontId="12" fillId="0" borderId="0" xfId="1" applyNumberFormat="1" applyFont="1" applyFill="1" applyBorder="1" applyAlignment="1">
      <alignment horizontal="right"/>
    </xf>
    <xf numFmtId="167" fontId="3" fillId="0" borderId="5" xfId="1" quotePrefix="1" applyNumberFormat="1" applyFont="1" applyFill="1" applyBorder="1" applyAlignment="1">
      <alignment horizontal="right"/>
    </xf>
    <xf numFmtId="0" fontId="0" fillId="0" borderId="0" xfId="0" applyFont="1"/>
    <xf numFmtId="43" fontId="0" fillId="0" borderId="0" xfId="1" applyFont="1" applyAlignment="1">
      <alignment horizontal="right"/>
    </xf>
    <xf numFmtId="167" fontId="2" fillId="0" borderId="0" xfId="1" quotePrefix="1" applyNumberFormat="1" applyFont="1" applyFill="1" applyBorder="1" applyAlignment="1">
      <alignment horizontal="right"/>
    </xf>
    <xf numFmtId="0" fontId="2" fillId="0" borderId="3" xfId="0" applyFont="1" applyFill="1" applyBorder="1"/>
    <xf numFmtId="43" fontId="0" fillId="0" borderId="0" xfId="1" applyFont="1" applyFill="1"/>
    <xf numFmtId="168" fontId="0" fillId="0" borderId="0" xfId="0" applyNumberFormat="1" applyFill="1"/>
    <xf numFmtId="43" fontId="0" fillId="0" borderId="0" xfId="1" applyFont="1" applyFill="1" applyAlignment="1">
      <alignment horizontal="right"/>
    </xf>
    <xf numFmtId="0" fontId="2" fillId="0" borderId="0" xfId="0" applyFont="1"/>
    <xf numFmtId="0" fontId="13" fillId="0" borderId="0" xfId="0" applyFont="1"/>
    <xf numFmtId="0" fontId="0" fillId="0" borderId="0" xfId="0" applyAlignment="1">
      <alignment horizontal="left"/>
    </xf>
    <xf numFmtId="167" fontId="0" fillId="0" borderId="0" xfId="1" applyNumberFormat="1" applyFont="1" applyBorder="1" applyAlignment="1">
      <alignment horizontal="right"/>
    </xf>
    <xf numFmtId="0" fontId="0" fillId="0" borderId="0" xfId="0" applyBorder="1" applyAlignment="1">
      <alignment horizontal="right"/>
    </xf>
    <xf numFmtId="0" fontId="2" fillId="0" borderId="0" xfId="0" applyFont="1" applyFill="1" applyBorder="1" applyAlignment="1">
      <alignment horizontal="left"/>
    </xf>
    <xf numFmtId="0" fontId="0" fillId="0" borderId="3" xfId="0" applyFont="1" applyFill="1" applyBorder="1"/>
    <xf numFmtId="0" fontId="2" fillId="0" borderId="3" xfId="0" applyFont="1" applyBorder="1" applyAlignment="1">
      <alignment horizontal="left"/>
    </xf>
    <xf numFmtId="0" fontId="2" fillId="0" borderId="4" xfId="0" applyFont="1" applyBorder="1" applyAlignment="1">
      <alignment horizontal="left"/>
    </xf>
    <xf numFmtId="0" fontId="0" fillId="0" borderId="0" xfId="0"/>
    <xf numFmtId="171" fontId="0" fillId="0" borderId="0" xfId="1" applyNumberFormat="1" applyFont="1" applyBorder="1" applyAlignment="1">
      <alignment horizontal="right"/>
    </xf>
    <xf numFmtId="169" fontId="1" fillId="0" borderId="0" xfId="2" quotePrefix="1" applyNumberFormat="1" applyFont="1" applyFill="1" applyBorder="1" applyAlignment="1">
      <alignment horizontal="right"/>
    </xf>
    <xf numFmtId="168" fontId="1" fillId="0" borderId="5" xfId="1" quotePrefix="1" applyNumberFormat="1" applyFont="1" applyFill="1" applyBorder="1" applyAlignment="1">
      <alignment horizontal="right"/>
    </xf>
    <xf numFmtId="169" fontId="1" fillId="2" borderId="0" xfId="2" quotePrefix="1" applyNumberFormat="1" applyFont="1" applyFill="1" applyBorder="1" applyAlignment="1">
      <alignment horizontal="right"/>
    </xf>
    <xf numFmtId="167" fontId="0" fillId="0" borderId="0" xfId="1" applyNumberFormat="1" applyFont="1" applyFill="1" applyBorder="1" applyAlignment="1">
      <alignment horizontal="right"/>
    </xf>
    <xf numFmtId="43" fontId="0" fillId="0" borderId="4" xfId="1" applyFont="1" applyFill="1" applyBorder="1" applyAlignment="1">
      <alignment horizontal="right"/>
    </xf>
    <xf numFmtId="0" fontId="0" fillId="0" borderId="6" xfId="0" applyFont="1" applyFill="1" applyBorder="1" applyAlignment="1">
      <alignment horizontal="left"/>
    </xf>
    <xf numFmtId="0" fontId="0" fillId="0" borderId="10" xfId="0" applyFont="1" applyFill="1" applyBorder="1" applyAlignment="1">
      <alignment horizontal="left"/>
    </xf>
    <xf numFmtId="43" fontId="1" fillId="0" borderId="0" xfId="1" applyNumberFormat="1" applyFont="1" applyFill="1" applyBorder="1" applyAlignment="1">
      <alignment horizontal="right"/>
    </xf>
    <xf numFmtId="43" fontId="10" fillId="0" borderId="0" xfId="1" applyNumberFormat="1" applyFont="1" applyFill="1" applyBorder="1" applyAlignment="1">
      <alignment horizontal="right"/>
    </xf>
    <xf numFmtId="43" fontId="1" fillId="0" borderId="5" xfId="1" applyNumberFormat="1" applyFont="1" applyFill="1" applyBorder="1" applyAlignment="1">
      <alignment horizontal="right"/>
    </xf>
    <xf numFmtId="169" fontId="1" fillId="0" borderId="5" xfId="2" quotePrefix="1" applyNumberFormat="1" applyFont="1" applyFill="1" applyBorder="1" applyAlignment="1">
      <alignment horizontal="right"/>
    </xf>
    <xf numFmtId="168" fontId="0" fillId="0" borderId="0" xfId="1" quotePrefix="1" applyNumberFormat="1" applyFont="1" applyFill="1" applyBorder="1" applyAlignment="1">
      <alignment horizontal="right"/>
    </xf>
    <xf numFmtId="43" fontId="1" fillId="0" borderId="0" xfId="1" applyNumberFormat="1" applyFont="1" applyFill="1" applyBorder="1" applyAlignment="1">
      <alignment horizontal="right"/>
    </xf>
    <xf numFmtId="168" fontId="1" fillId="0" borderId="0" xfId="1" quotePrefix="1" applyNumberFormat="1" applyFont="1" applyFill="1" applyBorder="1" applyAlignment="1">
      <alignment horizontal="right"/>
    </xf>
    <xf numFmtId="0" fontId="0" fillId="0" borderId="0" xfId="0" applyFont="1"/>
    <xf numFmtId="167" fontId="18" fillId="3" borderId="0" xfId="1" quotePrefix="1" applyNumberFormat="1" applyFont="1" applyFill="1" applyBorder="1" applyAlignment="1">
      <alignment horizontal="right"/>
    </xf>
    <xf numFmtId="0" fontId="0" fillId="0" borderId="0" xfId="0"/>
    <xf numFmtId="43" fontId="2" fillId="0" borderId="5" xfId="1" applyNumberFormat="1" applyFont="1" applyFill="1" applyBorder="1" applyAlignment="1">
      <alignment horizontal="right"/>
    </xf>
    <xf numFmtId="169" fontId="1" fillId="0" borderId="30" xfId="2" quotePrefix="1" applyNumberFormat="1" applyFont="1" applyFill="1" applyBorder="1" applyAlignment="1">
      <alignment horizontal="right"/>
    </xf>
    <xf numFmtId="171" fontId="2" fillId="0" borderId="0" xfId="1" quotePrefix="1" applyNumberFormat="1" applyFont="1" applyFill="1" applyBorder="1" applyAlignment="1">
      <alignment horizontal="right"/>
    </xf>
    <xf numFmtId="0" fontId="0" fillId="0" borderId="0" xfId="0"/>
    <xf numFmtId="0" fontId="0" fillId="0" borderId="0" xfId="0" applyFont="1"/>
    <xf numFmtId="0" fontId="2" fillId="0" borderId="0" xfId="0" applyFont="1"/>
    <xf numFmtId="167" fontId="16" fillId="3" borderId="2" xfId="1" quotePrefix="1" applyNumberFormat="1" applyFont="1" applyFill="1" applyBorder="1" applyAlignment="1">
      <alignment horizontal="right"/>
    </xf>
    <xf numFmtId="167" fontId="18" fillId="3" borderId="0" xfId="1" quotePrefix="1" applyNumberFormat="1" applyFont="1" applyFill="1" applyBorder="1" applyAlignment="1">
      <alignment horizontal="right"/>
    </xf>
    <xf numFmtId="167" fontId="65" fillId="5" borderId="2" xfId="1" quotePrefix="1" applyNumberFormat="1" applyFont="1" applyFill="1" applyBorder="1" applyAlignment="1">
      <alignment horizontal="right"/>
    </xf>
    <xf numFmtId="167" fontId="66" fillId="5" borderId="0" xfId="1" quotePrefix="1" applyNumberFormat="1" applyFont="1" applyFill="1" applyBorder="1" applyAlignment="1">
      <alignment horizontal="right"/>
    </xf>
    <xf numFmtId="0" fontId="0" fillId="0" borderId="4" xfId="0" applyFont="1" applyBorder="1" applyAlignment="1">
      <alignment horizontal="left"/>
    </xf>
    <xf numFmtId="0" fontId="2" fillId="0" borderId="6" xfId="0" applyFont="1" applyFill="1" applyBorder="1" applyAlignment="1">
      <alignment horizontal="left"/>
    </xf>
    <xf numFmtId="168" fontId="2" fillId="0" borderId="9" xfId="1" applyNumberFormat="1" applyFont="1" applyFill="1" applyBorder="1" applyAlignment="1">
      <alignment horizontal="right"/>
    </xf>
    <xf numFmtId="167" fontId="65" fillId="5" borderId="11" xfId="1" quotePrefix="1" applyNumberFormat="1" applyFont="1" applyFill="1" applyBorder="1" applyAlignment="1">
      <alignment horizontal="right"/>
    </xf>
    <xf numFmtId="167" fontId="66" fillId="5" borderId="4" xfId="1" quotePrefix="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0" fillId="0" borderId="0" xfId="0" applyFill="1"/>
    <xf numFmtId="168" fontId="2" fillId="0" borderId="30" xfId="1" quotePrefix="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43" fontId="1" fillId="0" borderId="3" xfId="1" applyNumberFormat="1" applyFont="1" applyFill="1" applyBorder="1" applyAlignment="1">
      <alignment horizontal="right"/>
    </xf>
    <xf numFmtId="43" fontId="2" fillId="0" borderId="0" xfId="1" applyNumberFormat="1" applyFont="1" applyFill="1" applyBorder="1" applyAlignment="1">
      <alignment horizontal="right"/>
    </xf>
    <xf numFmtId="43" fontId="2" fillId="0" borderId="3" xfId="1" applyNumberFormat="1" applyFont="1" applyFill="1" applyBorder="1" applyAlignment="1">
      <alignment horizontal="right"/>
    </xf>
    <xf numFmtId="168" fontId="0" fillId="0" borderId="0" xfId="1" applyNumberFormat="1" applyFont="1"/>
    <xf numFmtId="9" fontId="1" fillId="0" borderId="0" xfId="2" quotePrefix="1" applyFont="1" applyFill="1" applyBorder="1" applyAlignment="1">
      <alignment horizontal="right"/>
    </xf>
    <xf numFmtId="9" fontId="1" fillId="0" borderId="5" xfId="2" quotePrefix="1" applyFont="1" applyFill="1" applyBorder="1" applyAlignment="1">
      <alignment horizontal="right"/>
    </xf>
    <xf numFmtId="169" fontId="1" fillId="0" borderId="27" xfId="2" quotePrefix="1" applyNumberFormat="1" applyFont="1" applyFill="1" applyBorder="1" applyAlignment="1">
      <alignment horizontal="right"/>
    </xf>
    <xf numFmtId="171" fontId="1" fillId="0" borderId="0" xfId="1" quotePrefix="1" applyNumberFormat="1" applyFont="1" applyFill="1" applyBorder="1" applyAlignment="1">
      <alignment horizontal="right"/>
    </xf>
    <xf numFmtId="171" fontId="0" fillId="0" borderId="0" xfId="1" applyNumberFormat="1" applyFont="1"/>
    <xf numFmtId="171" fontId="0" fillId="0" borderId="0" xfId="1" applyNumberFormat="1" applyFont="1" applyAlignment="1">
      <alignment horizontal="right"/>
    </xf>
    <xf numFmtId="6" fontId="2" fillId="0" borderId="10" xfId="1" applyNumberFormat="1" applyFont="1" applyBorder="1" applyAlignment="1">
      <alignment horizontal="right"/>
    </xf>
    <xf numFmtId="169" fontId="0" fillId="0" borderId="0" xfId="2" applyNumberFormat="1" applyFont="1" applyAlignment="1">
      <alignment horizontal="right"/>
    </xf>
    <xf numFmtId="10" fontId="0" fillId="0" borderId="0" xfId="2" applyNumberFormat="1" applyFont="1" applyAlignment="1">
      <alignment horizontal="right"/>
    </xf>
    <xf numFmtId="0" fontId="0" fillId="0" borderId="1" xfId="0" applyFont="1" applyBorder="1"/>
    <xf numFmtId="5" fontId="0" fillId="0" borderId="4" xfId="1" applyNumberFormat="1" applyFont="1" applyFill="1" applyBorder="1" applyAlignment="1">
      <alignment horizontal="right"/>
    </xf>
    <xf numFmtId="0" fontId="0" fillId="0" borderId="31" xfId="0" applyFont="1" applyFill="1" applyBorder="1"/>
    <xf numFmtId="6" fontId="0" fillId="0" borderId="32" xfId="0" applyNumberFormat="1" applyFont="1" applyBorder="1"/>
    <xf numFmtId="0" fontId="2" fillId="0" borderId="1" xfId="0" applyFont="1" applyFill="1" applyBorder="1" applyAlignment="1">
      <alignment horizontal="left"/>
    </xf>
    <xf numFmtId="5" fontId="2" fillId="0" borderId="11" xfId="1" applyNumberFormat="1" applyFont="1" applyBorder="1" applyAlignment="1">
      <alignment horizontal="right"/>
    </xf>
    <xf numFmtId="170" fontId="0" fillId="0" borderId="0" xfId="2" applyNumberFormat="1" applyFont="1" applyFill="1" applyBorder="1" applyAlignment="1">
      <alignment horizontal="right"/>
    </xf>
    <xf numFmtId="170" fontId="0" fillId="0" borderId="0" xfId="1" applyNumberFormat="1" applyFont="1" applyFill="1" applyBorder="1" applyAlignment="1">
      <alignment horizontal="right"/>
    </xf>
    <xf numFmtId="7" fontId="2" fillId="0" borderId="0" xfId="1" applyNumberFormat="1" applyFont="1" applyFill="1" applyBorder="1" applyAlignment="1">
      <alignment horizontal="right"/>
    </xf>
    <xf numFmtId="9" fontId="0" fillId="2" borderId="11" xfId="1" applyNumberFormat="1" applyFont="1" applyFill="1" applyBorder="1" applyAlignment="1">
      <alignment horizontal="right"/>
    </xf>
    <xf numFmtId="9" fontId="0" fillId="2" borderId="4" xfId="2" applyFont="1" applyFill="1" applyBorder="1" applyAlignment="1">
      <alignment horizontal="right"/>
    </xf>
    <xf numFmtId="0" fontId="68" fillId="0" borderId="0" xfId="0" applyFont="1"/>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68" fontId="2" fillId="0" borderId="9" xfId="1" applyNumberFormat="1" applyFont="1" applyFill="1" applyBorder="1" applyAlignment="1">
      <alignment horizontal="left"/>
    </xf>
    <xf numFmtId="0" fontId="0" fillId="0" borderId="0" xfId="0" applyFont="1" applyFill="1"/>
    <xf numFmtId="0" fontId="0" fillId="0" borderId="0" xfId="0" applyFill="1" applyBorder="1"/>
    <xf numFmtId="0" fontId="8" fillId="0" borderId="0" xfId="0" applyFont="1" applyFill="1" applyBorder="1" applyAlignment="1">
      <alignment horizontal="left"/>
    </xf>
    <xf numFmtId="167" fontId="13" fillId="0" borderId="0" xfId="1" applyNumberFormat="1" applyFont="1" applyAlignment="1">
      <alignment horizontal="right"/>
    </xf>
    <xf numFmtId="168" fontId="13" fillId="0" borderId="3" xfId="1" applyNumberFormat="1" applyFont="1" applyFill="1" applyBorder="1" applyAlignment="1">
      <alignment horizontal="right"/>
    </xf>
    <xf numFmtId="168" fontId="13" fillId="0" borderId="0" xfId="1" applyNumberFormat="1" applyFont="1" applyBorder="1" applyAlignment="1">
      <alignment horizontal="right"/>
    </xf>
    <xf numFmtId="168" fontId="13" fillId="0" borderId="4" xfId="1" applyNumberFormat="1" applyFont="1" applyBorder="1" applyAlignment="1">
      <alignment horizontal="right"/>
    </xf>
    <xf numFmtId="168" fontId="13" fillId="0" borderId="5" xfId="1" applyNumberFormat="1" applyFont="1" applyBorder="1" applyAlignment="1">
      <alignment horizontal="right"/>
    </xf>
    <xf numFmtId="168" fontId="5" fillId="0" borderId="0" xfId="1" applyNumberFormat="1" applyFont="1" applyBorder="1" applyAlignment="1">
      <alignment horizontal="right"/>
    </xf>
    <xf numFmtId="168" fontId="7" fillId="0" borderId="0" xfId="1" applyNumberFormat="1" applyFont="1" applyFill="1" applyBorder="1" applyAlignment="1">
      <alignment horizontal="right"/>
    </xf>
    <xf numFmtId="168" fontId="6" fillId="0" borderId="0" xfId="1" applyNumberFormat="1" applyFont="1" applyBorder="1" applyAlignment="1">
      <alignment horizontal="right"/>
    </xf>
    <xf numFmtId="168" fontId="7" fillId="0" borderId="5" xfId="1" applyNumberFormat="1" applyFont="1" applyBorder="1" applyAlignment="1">
      <alignment horizontal="right"/>
    </xf>
    <xf numFmtId="0" fontId="0" fillId="0" borderId="0" xfId="0" applyFont="1" applyAlignment="1">
      <alignment horizontal="left"/>
    </xf>
    <xf numFmtId="0" fontId="0" fillId="0" borderId="4" xfId="0" applyFont="1" applyBorder="1" applyAlignment="1"/>
    <xf numFmtId="167" fontId="3" fillId="0" borderId="8" xfId="1" quotePrefix="1" applyNumberFormat="1" applyFont="1" applyFill="1" applyBorder="1" applyAlignment="1">
      <alignment horizontal="right"/>
    </xf>
    <xf numFmtId="168" fontId="0" fillId="0" borderId="0" xfId="1" applyNumberFormat="1" applyFont="1" applyFill="1" applyBorder="1" applyAlignment="1">
      <alignment horizontal="right"/>
    </xf>
    <xf numFmtId="168" fontId="1" fillId="2" borderId="0" xfId="1" quotePrefix="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0" fontId="1" fillId="0" borderId="0" xfId="2" quotePrefix="1" applyNumberFormat="1" applyFont="1" applyFill="1" applyBorder="1" applyAlignment="1">
      <alignment horizontal="right"/>
    </xf>
    <xf numFmtId="168" fontId="13" fillId="0" borderId="0" xfId="1" quotePrefix="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2" fillId="0" borderId="28" xfId="0" applyFont="1" applyFill="1" applyBorder="1" applyAlignment="1">
      <alignment horizontal="left"/>
    </xf>
    <xf numFmtId="0" fontId="2" fillId="0" borderId="29" xfId="0" applyFont="1" applyFill="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43" fontId="1" fillId="0" borderId="0" xfId="1" quotePrefix="1" applyNumberFormat="1" applyFont="1" applyFill="1" applyBorder="1" applyAlignment="1">
      <alignment horizontal="right"/>
    </xf>
    <xf numFmtId="0" fontId="0" fillId="0" borderId="0" xfId="0" applyFont="1" applyFill="1" applyBorder="1" applyAlignment="1">
      <alignment horizontal="left"/>
    </xf>
    <xf numFmtId="167" fontId="0" fillId="0" borderId="3" xfId="1" applyNumberFormat="1" applyFont="1" applyFill="1" applyBorder="1" applyAlignment="1">
      <alignment horizontal="right"/>
    </xf>
    <xf numFmtId="167" fontId="0" fillId="0" borderId="5" xfId="1" applyNumberFormat="1" applyFont="1" applyBorder="1" applyAlignment="1">
      <alignment horizontal="right"/>
    </xf>
    <xf numFmtId="167" fontId="0" fillId="0" borderId="0" xfId="0" applyNumberFormat="1" applyAlignment="1">
      <alignment horizontal="right"/>
    </xf>
    <xf numFmtId="167" fontId="0" fillId="0" borderId="4" xfId="1" applyNumberFormat="1" applyFont="1" applyBorder="1" applyAlignment="1">
      <alignment horizontal="right"/>
    </xf>
    <xf numFmtId="167" fontId="5" fillId="0" borderId="3" xfId="1" applyNumberFormat="1" applyFont="1" applyBorder="1" applyAlignment="1">
      <alignment horizontal="right"/>
    </xf>
    <xf numFmtId="167" fontId="7" fillId="0" borderId="0" xfId="1" applyNumberFormat="1" applyFont="1" applyBorder="1" applyAlignment="1">
      <alignment horizontal="right"/>
    </xf>
    <xf numFmtId="167" fontId="6" fillId="0" borderId="0" xfId="1" applyNumberFormat="1" applyFont="1" applyBorder="1" applyAlignment="1">
      <alignment horizontal="right"/>
    </xf>
    <xf numFmtId="167" fontId="7" fillId="0" borderId="5" xfId="1" applyNumberFormat="1" applyFont="1" applyBorder="1" applyAlignment="1">
      <alignment horizontal="right"/>
    </xf>
    <xf numFmtId="167" fontId="1" fillId="0" borderId="6" xfId="1" applyNumberFormat="1" applyFont="1" applyFill="1" applyBorder="1" applyAlignment="1">
      <alignment horizontal="right"/>
    </xf>
    <xf numFmtId="167" fontId="1" fillId="0" borderId="7" xfId="1" applyNumberFormat="1" applyFont="1" applyBorder="1" applyAlignment="1">
      <alignment horizontal="right"/>
    </xf>
    <xf numFmtId="167" fontId="1" fillId="0" borderId="10" xfId="1" applyNumberFormat="1" applyFont="1" applyBorder="1" applyAlignment="1">
      <alignment horizontal="right"/>
    </xf>
    <xf numFmtId="167" fontId="1" fillId="0" borderId="8" xfId="1" applyNumberFormat="1" applyFont="1" applyBorder="1" applyAlignment="1">
      <alignment horizontal="right"/>
    </xf>
    <xf numFmtId="167" fontId="1" fillId="0" borderId="6" xfId="1" applyNumberFormat="1" applyFont="1" applyBorder="1" applyAlignment="1">
      <alignment horizontal="right"/>
    </xf>
    <xf numFmtId="167" fontId="1" fillId="0" borderId="7" xfId="1" applyNumberFormat="1" applyFont="1" applyFill="1" applyBorder="1" applyAlignment="1">
      <alignment horizontal="right"/>
    </xf>
    <xf numFmtId="43" fontId="1" fillId="0" borderId="5" xfId="1" quotePrefix="1" applyNumberFormat="1" applyFont="1" applyFill="1" applyBorder="1" applyAlignment="1">
      <alignment horizontal="right"/>
    </xf>
    <xf numFmtId="10" fontId="1" fillId="0" borderId="5" xfId="2" quotePrefix="1" applyNumberFormat="1" applyFont="1" applyFill="1" applyBorder="1" applyAlignment="1">
      <alignment horizontal="right"/>
    </xf>
    <xf numFmtId="43" fontId="1" fillId="2" borderId="0" xfId="1" quotePrefix="1" applyNumberFormat="1" applyFont="1" applyFill="1" applyBorder="1" applyAlignment="1">
      <alignment horizontal="right"/>
    </xf>
    <xf numFmtId="10" fontId="1" fillId="11" borderId="5" xfId="2" quotePrefix="1" applyNumberFormat="1" applyFont="1" applyFill="1" applyBorder="1" applyAlignment="1">
      <alignment horizontal="right"/>
    </xf>
    <xf numFmtId="0" fontId="0" fillId="0" borderId="6" xfId="0" applyFont="1" applyBorder="1" applyAlignment="1">
      <alignment horizontal="left"/>
    </xf>
    <xf numFmtId="0" fontId="0" fillId="0" borderId="10"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15" fillId="3" borderId="12" xfId="0" applyFont="1" applyFill="1" applyBorder="1" applyAlignment="1">
      <alignment horizontal="left"/>
    </xf>
    <xf numFmtId="0" fontId="15" fillId="3" borderId="13" xfId="0" applyFont="1" applyFill="1" applyBorder="1" applyAlignment="1">
      <alignment horizontal="left"/>
    </xf>
    <xf numFmtId="0" fontId="17" fillId="3" borderId="3" xfId="0" applyFont="1" applyFill="1" applyBorder="1" applyAlignment="1">
      <alignment horizontal="left"/>
    </xf>
    <xf numFmtId="0" fontId="17" fillId="3" borderId="0" xfId="0" applyFont="1" applyFill="1" applyBorder="1" applyAlignment="1">
      <alignment horizontal="left"/>
    </xf>
    <xf numFmtId="0" fontId="2" fillId="0" borderId="6" xfId="0" applyFont="1" applyBorder="1" applyAlignment="1">
      <alignment horizontal="left"/>
    </xf>
    <xf numFmtId="0" fontId="2" fillId="0" borderId="10" xfId="0" applyFont="1" applyBorder="1" applyAlignment="1">
      <alignment horizontal="left"/>
    </xf>
    <xf numFmtId="0" fontId="10" fillId="0" borderId="3" xfId="3" applyFont="1" applyFill="1" applyBorder="1" applyAlignment="1">
      <alignment horizontal="left" vertical="top"/>
    </xf>
    <xf numFmtId="0" fontId="10" fillId="0" borderId="4" xfId="3" applyFont="1" applyFill="1"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2" borderId="1" xfId="0" applyFont="1" applyFill="1" applyBorder="1" applyAlignment="1">
      <alignment horizontal="left"/>
    </xf>
    <xf numFmtId="0" fontId="0" fillId="2" borderId="11" xfId="0" applyFont="1" applyFill="1" applyBorder="1" applyAlignment="1">
      <alignment horizontal="left"/>
    </xf>
    <xf numFmtId="0" fontId="0" fillId="11" borderId="3" xfId="0" applyFont="1" applyFill="1" applyBorder="1" applyAlignment="1">
      <alignment horizontal="left"/>
    </xf>
    <xf numFmtId="0" fontId="0" fillId="11" borderId="4" xfId="0" applyFont="1" applyFill="1" applyBorder="1" applyAlignment="1">
      <alignment horizontal="left"/>
    </xf>
    <xf numFmtId="0" fontId="0" fillId="4" borderId="6" xfId="0" applyFont="1" applyFill="1" applyBorder="1" applyAlignment="1">
      <alignment horizontal="left"/>
    </xf>
    <xf numFmtId="0" fontId="0" fillId="4" borderId="10" xfId="0" applyFont="1" applyFill="1" applyBorder="1" applyAlignment="1">
      <alignment horizontal="left"/>
    </xf>
    <xf numFmtId="0" fontId="15" fillId="3" borderId="1" xfId="0" applyFont="1" applyFill="1" applyBorder="1" applyAlignment="1">
      <alignment horizontal="left"/>
    </xf>
    <xf numFmtId="0" fontId="15" fillId="3" borderId="2"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43" fontId="1" fillId="0" borderId="8" xfId="1" applyNumberFormat="1" applyFont="1" applyFill="1" applyBorder="1" applyAlignment="1">
      <alignment horizontal="right"/>
    </xf>
    <xf numFmtId="43" fontId="12" fillId="0" borderId="5" xfId="1" applyNumberFormat="1" applyFont="1" applyFill="1" applyBorder="1" applyAlignment="1">
      <alignment horizontal="right"/>
    </xf>
    <xf numFmtId="168" fontId="1" fillId="0" borderId="3" xfId="1" applyNumberFormat="1" applyFont="1" applyFill="1" applyBorder="1" applyAlignment="1">
      <alignment horizontal="right"/>
    </xf>
    <xf numFmtId="168" fontId="1" fillId="0" borderId="0" xfId="1" applyNumberFormat="1" applyFont="1" applyFill="1" applyBorder="1" applyAlignment="1">
      <alignment horizontal="right"/>
    </xf>
    <xf numFmtId="168" fontId="1" fillId="0" borderId="5" xfId="1" applyNumberFormat="1" applyFont="1" applyFill="1" applyBorder="1" applyAlignment="1">
      <alignment horizontal="right"/>
    </xf>
    <xf numFmtId="168" fontId="10" fillId="0" borderId="0" xfId="1" applyNumberFormat="1" applyFont="1" applyFill="1" applyBorder="1" applyAlignment="1">
      <alignment horizontal="right"/>
    </xf>
    <xf numFmtId="168" fontId="4" fillId="0" borderId="3" xfId="1" applyNumberFormat="1" applyFont="1" applyFill="1" applyBorder="1" applyAlignment="1">
      <alignment horizontal="right"/>
    </xf>
    <xf numFmtId="168" fontId="4" fillId="0" borderId="0" xfId="1" applyNumberFormat="1" applyFont="1" applyFill="1" applyBorder="1" applyAlignment="1">
      <alignment horizontal="right"/>
    </xf>
    <xf numFmtId="168" fontId="4" fillId="0" borderId="5" xfId="1" applyNumberFormat="1" applyFont="1" applyFill="1" applyBorder="1" applyAlignment="1">
      <alignment horizontal="right"/>
    </xf>
    <xf numFmtId="168" fontId="11" fillId="0" borderId="0" xfId="1" applyNumberFormat="1" applyFont="1" applyFill="1" applyBorder="1" applyAlignment="1">
      <alignment horizontal="right"/>
    </xf>
    <xf numFmtId="168" fontId="2" fillId="0" borderId="3" xfId="1" applyNumberFormat="1" applyFont="1" applyFill="1" applyBorder="1" applyAlignment="1">
      <alignment horizontal="right"/>
    </xf>
    <xf numFmtId="168" fontId="2" fillId="0" borderId="0" xfId="1" applyNumberFormat="1" applyFont="1" applyFill="1" applyBorder="1" applyAlignment="1">
      <alignment horizontal="right"/>
    </xf>
    <xf numFmtId="168" fontId="2" fillId="0" borderId="5" xfId="1" applyNumberFormat="1" applyFont="1" applyFill="1" applyBorder="1" applyAlignment="1">
      <alignment horizontal="right"/>
    </xf>
    <xf numFmtId="168" fontId="12" fillId="0" borderId="0" xfId="1" applyNumberFormat="1" applyFont="1" applyFill="1" applyBorder="1" applyAlignment="1">
      <alignment horizontal="right"/>
    </xf>
    <xf numFmtId="168" fontId="11" fillId="0" borderId="3" xfId="1" applyNumberFormat="1" applyFont="1" applyFill="1" applyBorder="1" applyAlignment="1">
      <alignment horizontal="right"/>
    </xf>
    <xf numFmtId="168" fontId="12" fillId="0" borderId="3" xfId="1" applyNumberFormat="1" applyFont="1" applyFill="1" applyBorder="1" applyAlignment="1">
      <alignment horizontal="right"/>
    </xf>
    <xf numFmtId="168" fontId="10" fillId="0" borderId="3" xfId="1" applyNumberFormat="1" applyFont="1" applyFill="1" applyBorder="1" applyAlignment="1">
      <alignment horizontal="right"/>
    </xf>
    <xf numFmtId="168" fontId="3" fillId="0" borderId="3" xfId="1" applyNumberFormat="1" applyFont="1" applyFill="1" applyBorder="1" applyAlignment="1">
      <alignment horizontal="right"/>
    </xf>
    <xf numFmtId="168" fontId="3" fillId="0" borderId="0" xfId="1" applyNumberFormat="1" applyFont="1" applyFill="1" applyBorder="1" applyAlignment="1">
      <alignment horizontal="right"/>
    </xf>
    <xf numFmtId="168" fontId="3" fillId="0" borderId="5" xfId="1" applyNumberFormat="1" applyFont="1" applyFill="1" applyBorder="1" applyAlignment="1">
      <alignment horizontal="right"/>
    </xf>
    <xf numFmtId="168" fontId="19" fillId="0" borderId="0" xfId="1" applyNumberFormat="1" applyFont="1" applyFill="1" applyBorder="1" applyAlignment="1">
      <alignment horizontal="right"/>
    </xf>
    <xf numFmtId="168" fontId="19" fillId="0" borderId="3" xfId="1" applyNumberFormat="1" applyFont="1" applyFill="1" applyBorder="1" applyAlignment="1">
      <alignment horizontal="right"/>
    </xf>
    <xf numFmtId="168" fontId="10" fillId="0" borderId="5" xfId="1" applyNumberFormat="1" applyFont="1" applyFill="1" applyBorder="1" applyAlignment="1">
      <alignment horizontal="right"/>
    </xf>
    <xf numFmtId="0" fontId="0" fillId="0" borderId="3" xfId="0" applyBorder="1"/>
    <xf numFmtId="168" fontId="11" fillId="0" borderId="5" xfId="1" applyNumberFormat="1" applyFont="1" applyFill="1" applyBorder="1" applyAlignment="1">
      <alignment horizontal="right"/>
    </xf>
    <xf numFmtId="0" fontId="8" fillId="0" borderId="3" xfId="0" applyFont="1" applyFill="1" applyBorder="1" applyAlignment="1">
      <alignment horizontal="left"/>
    </xf>
    <xf numFmtId="0" fontId="8" fillId="0" borderId="4" xfId="0" applyFont="1" applyFill="1" applyBorder="1" applyAlignment="1">
      <alignment horizontal="left"/>
    </xf>
    <xf numFmtId="168" fontId="2" fillId="0" borderId="0" xfId="1" quotePrefix="1" applyNumberFormat="1" applyFont="1" applyBorder="1" applyAlignment="1">
      <alignment horizontal="right"/>
    </xf>
    <xf numFmtId="168" fontId="2" fillId="0" borderId="5" xfId="1" quotePrefix="1" applyNumberFormat="1" applyFont="1" applyBorder="1" applyAlignment="1">
      <alignment horizontal="right"/>
    </xf>
    <xf numFmtId="168" fontId="2" fillId="0" borderId="0" xfId="1" quotePrefix="1" applyNumberFormat="1" applyFont="1" applyFill="1" applyBorder="1" applyAlignment="1">
      <alignment horizontal="right"/>
    </xf>
    <xf numFmtId="0" fontId="0" fillId="0" borderId="28" xfId="0" applyFont="1" applyBorder="1" applyAlignment="1">
      <alignment horizontal="left"/>
    </xf>
    <xf numFmtId="0" fontId="0" fillId="0" borderId="29" xfId="0" applyFont="1" applyBorder="1" applyAlignment="1">
      <alignment horizontal="left"/>
    </xf>
    <xf numFmtId="167" fontId="1" fillId="0" borderId="0" xfId="1" quotePrefix="1" applyNumberFormat="1" applyFont="1" applyFill="1" applyBorder="1" applyAlignment="1">
      <alignment horizontal="right"/>
    </xf>
    <xf numFmtId="167" fontId="1" fillId="0" borderId="5" xfId="1" quotePrefix="1" applyNumberFormat="1" applyFont="1" applyFill="1" applyBorder="1" applyAlignment="1">
      <alignment horizontal="right"/>
    </xf>
    <xf numFmtId="167" fontId="1" fillId="2" borderId="0" xfId="1" quotePrefix="1" applyNumberFormat="1" applyFont="1" applyFill="1" applyBorder="1" applyAlignment="1">
      <alignment horizontal="right"/>
    </xf>
    <xf numFmtId="0" fontId="0" fillId="0" borderId="28" xfId="0" applyFont="1" applyFill="1" applyBorder="1" applyAlignment="1">
      <alignment horizontal="left"/>
    </xf>
    <xf numFmtId="0" fontId="0" fillId="0" borderId="29" xfId="0" applyFont="1" applyFill="1" applyBorder="1" applyAlignment="1">
      <alignment horizontal="left"/>
    </xf>
    <xf numFmtId="10" fontId="1" fillId="0" borderId="30" xfId="2" quotePrefix="1" applyNumberFormat="1" applyFont="1" applyFill="1" applyBorder="1" applyAlignment="1">
      <alignment horizontal="right"/>
    </xf>
    <xf numFmtId="10" fontId="1" fillId="0" borderId="27" xfId="2" quotePrefix="1" applyNumberFormat="1" applyFont="1" applyFill="1" applyBorder="1" applyAlignment="1">
      <alignment horizontal="right"/>
    </xf>
    <xf numFmtId="9" fontId="1" fillId="0" borderId="30" xfId="2" quotePrefix="1" applyFont="1" applyFill="1" applyBorder="1" applyAlignment="1">
      <alignment horizontal="right"/>
    </xf>
    <xf numFmtId="9" fontId="1" fillId="0" borderId="27" xfId="2" quotePrefix="1" applyFont="1" applyFill="1" applyBorder="1" applyAlignment="1">
      <alignment horizontal="right"/>
    </xf>
    <xf numFmtId="169" fontId="1" fillId="11" borderId="0" xfId="2" quotePrefix="1" applyNumberFormat="1" applyFont="1" applyFill="1" applyBorder="1" applyAlignment="1">
      <alignment horizontal="right"/>
    </xf>
    <xf numFmtId="168" fontId="4" fillId="0" borderId="0" xfId="1" quotePrefix="1" applyNumberFormat="1" applyFont="1" applyFill="1" applyBorder="1" applyAlignment="1">
      <alignment horizontal="right"/>
    </xf>
    <xf numFmtId="168" fontId="4" fillId="0" borderId="5" xfId="1" quotePrefix="1" applyNumberFormat="1" applyFont="1" applyFill="1" applyBorder="1" applyAlignment="1">
      <alignment horizontal="right"/>
    </xf>
    <xf numFmtId="168" fontId="2" fillId="0" borderId="27" xfId="1" quotePrefix="1" applyNumberFormat="1" applyFont="1" applyFill="1" applyBorder="1" applyAlignment="1">
      <alignment horizontal="right"/>
    </xf>
    <xf numFmtId="168" fontId="4" fillId="2" borderId="0" xfId="1" quotePrefix="1" applyNumberFormat="1" applyFont="1" applyFill="1" applyBorder="1" applyAlignment="1">
      <alignment horizontal="right"/>
    </xf>
    <xf numFmtId="167" fontId="16" fillId="3" borderId="2" xfId="1" quotePrefix="1" applyNumberFormat="1" applyFont="1" applyFill="1" applyBorder="1" applyAlignment="1">
      <alignment horizontal="center"/>
    </xf>
    <xf numFmtId="0" fontId="0" fillId="0" borderId="0" xfId="0" applyFill="1" applyAlignment="1">
      <alignment horizontal="left"/>
    </xf>
    <xf numFmtId="171" fontId="0" fillId="0" borderId="0" xfId="1" applyNumberFormat="1" applyFont="1" applyFill="1"/>
    <xf numFmtId="167" fontId="13" fillId="0" borderId="0" xfId="1" applyNumberFormat="1" applyFont="1" applyFill="1" applyAlignment="1">
      <alignment horizontal="right"/>
    </xf>
    <xf numFmtId="168" fontId="2" fillId="0" borderId="5" xfId="1" quotePrefix="1" applyNumberFormat="1" applyFont="1" applyFill="1" applyBorder="1" applyAlignment="1">
      <alignment horizontal="right"/>
    </xf>
    <xf numFmtId="0" fontId="2" fillId="0" borderId="0" xfId="0" applyFont="1" applyFill="1"/>
    <xf numFmtId="226" fontId="0" fillId="0" borderId="27" xfId="1" applyNumberFormat="1" applyFont="1" applyFill="1" applyBorder="1" applyAlignment="1">
      <alignment horizontal="right"/>
    </xf>
    <xf numFmtId="0" fontId="0" fillId="0" borderId="5" xfId="0" applyBorder="1"/>
    <xf numFmtId="168" fontId="0" fillId="0" borderId="3" xfId="1" applyNumberFormat="1" applyFont="1" applyFill="1" applyBorder="1" applyAlignment="1">
      <alignment horizontal="right"/>
    </xf>
    <xf numFmtId="168" fontId="0" fillId="0" borderId="4" xfId="1" applyNumberFormat="1" applyFont="1" applyFill="1" applyBorder="1" applyAlignment="1">
      <alignment horizontal="right"/>
    </xf>
    <xf numFmtId="168" fontId="0" fillId="0" borderId="5" xfId="1" applyNumberFormat="1" applyFont="1" applyFill="1" applyBorder="1" applyAlignment="1">
      <alignment horizontal="right"/>
    </xf>
    <xf numFmtId="168" fontId="10" fillId="0" borderId="0" xfId="1" applyNumberFormat="1" applyFont="1" applyBorder="1" applyAlignment="1">
      <alignment horizontal="right"/>
    </xf>
    <xf numFmtId="168" fontId="0" fillId="0" borderId="5" xfId="1" applyNumberFormat="1" applyFont="1" applyBorder="1" applyAlignment="1">
      <alignment horizontal="right"/>
    </xf>
    <xf numFmtId="168" fontId="2" fillId="0" borderId="4" xfId="1" applyNumberFormat="1" applyFont="1" applyFill="1" applyBorder="1" applyAlignment="1">
      <alignment horizontal="right"/>
    </xf>
    <xf numFmtId="168" fontId="2" fillId="0" borderId="5" xfId="1" applyNumberFormat="1" applyFont="1" applyBorder="1" applyAlignment="1">
      <alignment horizontal="right"/>
    </xf>
    <xf numFmtId="168" fontId="1" fillId="0" borderId="4" xfId="1" applyNumberFormat="1" applyFont="1" applyFill="1" applyBorder="1" applyAlignment="1">
      <alignment horizontal="right"/>
    </xf>
    <xf numFmtId="168" fontId="1" fillId="0" borderId="5" xfId="1" applyNumberFormat="1" applyFont="1" applyBorder="1" applyAlignment="1">
      <alignment horizontal="right"/>
    </xf>
    <xf numFmtId="168" fontId="10" fillId="0" borderId="0" xfId="3" applyNumberFormat="1" applyFont="1" applyFill="1">
      <alignment vertical="top"/>
    </xf>
    <xf numFmtId="168" fontId="12" fillId="0" borderId="0" xfId="1" applyNumberFormat="1" applyFont="1" applyBorder="1" applyAlignment="1">
      <alignment horizontal="right"/>
    </xf>
    <xf numFmtId="168" fontId="2" fillId="0" borderId="0" xfId="1" applyNumberFormat="1" applyFont="1" applyBorder="1" applyAlignment="1">
      <alignment horizontal="right"/>
    </xf>
    <xf numFmtId="168" fontId="2" fillId="0" borderId="7" xfId="1" applyNumberFormat="1" applyFont="1" applyFill="1" applyBorder="1" applyAlignment="1">
      <alignment horizontal="right"/>
    </xf>
    <xf numFmtId="168" fontId="2" fillId="0" borderId="10" xfId="1" applyNumberFormat="1" applyFont="1" applyFill="1" applyBorder="1" applyAlignment="1">
      <alignment horizontal="right"/>
    </xf>
    <xf numFmtId="168" fontId="2" fillId="0" borderId="8" xfId="1" applyNumberFormat="1" applyFont="1" applyFill="1" applyBorder="1" applyAlignment="1">
      <alignment horizontal="right"/>
    </xf>
    <xf numFmtId="168" fontId="2" fillId="0" borderId="7" xfId="1" applyNumberFormat="1" applyFont="1" applyBorder="1" applyAlignment="1">
      <alignment horizontal="right"/>
    </xf>
    <xf numFmtId="168" fontId="2" fillId="0" borderId="8" xfId="1" applyNumberFormat="1" applyFont="1" applyBorder="1" applyAlignment="1">
      <alignment horizontal="right"/>
    </xf>
    <xf numFmtId="168" fontId="4" fillId="0" borderId="4" xfId="1" applyNumberFormat="1" applyFont="1" applyFill="1" applyBorder="1" applyAlignment="1">
      <alignment horizontal="right"/>
    </xf>
    <xf numFmtId="168" fontId="4" fillId="0" borderId="5" xfId="1" applyNumberFormat="1" applyFont="1" applyBorder="1" applyAlignment="1">
      <alignment horizontal="right"/>
    </xf>
    <xf numFmtId="168" fontId="11" fillId="0" borderId="0" xfId="3" applyNumberFormat="1" applyFont="1" applyFill="1">
      <alignment vertical="top"/>
    </xf>
    <xf numFmtId="0" fontId="0" fillId="0" borderId="0" xfId="0" applyBorder="1"/>
    <xf numFmtId="0" fontId="0" fillId="0" borderId="0" xfId="0" applyFont="1" applyBorder="1"/>
    <xf numFmtId="168" fontId="0" fillId="0" borderId="5" xfId="1" applyNumberFormat="1" applyFont="1" applyBorder="1"/>
    <xf numFmtId="168" fontId="4" fillId="0" borderId="5" xfId="1" applyNumberFormat="1" applyFont="1" applyBorder="1"/>
    <xf numFmtId="170" fontId="0" fillId="0" borderId="28" xfId="1" applyNumberFormat="1" applyFont="1" applyFill="1" applyBorder="1" applyAlignment="1">
      <alignment horizontal="right"/>
    </xf>
    <xf numFmtId="170" fontId="0" fillId="0" borderId="30" xfId="1" applyNumberFormat="1" applyFont="1" applyFill="1" applyBorder="1" applyAlignment="1">
      <alignment horizontal="right"/>
    </xf>
    <xf numFmtId="170" fontId="0" fillId="0" borderId="29" xfId="1" applyNumberFormat="1" applyFont="1" applyFill="1" applyBorder="1" applyAlignment="1">
      <alignment horizontal="right"/>
    </xf>
    <xf numFmtId="170" fontId="2" fillId="0" borderId="27" xfId="1" quotePrefix="1" applyNumberFormat="1" applyFont="1" applyFill="1" applyBorder="1" applyAlignment="1">
      <alignment horizontal="right"/>
    </xf>
    <xf numFmtId="43" fontId="3" fillId="0" borderId="5" xfId="1" quotePrefix="1" applyNumberFormat="1" applyFont="1" applyFill="1" applyBorder="1" applyAlignment="1">
      <alignment horizontal="right"/>
    </xf>
    <xf numFmtId="43" fontId="0" fillId="0" borderId="0" xfId="1" applyFont="1" applyFill="1" applyAlignment="1">
      <alignment horizontal="left"/>
    </xf>
    <xf numFmtId="168" fontId="0" fillId="0" borderId="0" xfId="1" applyNumberFormat="1" applyFont="1" applyBorder="1" applyAlignment="1">
      <alignment horizontal="right"/>
    </xf>
    <xf numFmtId="168" fontId="0" fillId="0" borderId="3" xfId="1" applyNumberFormat="1" applyFont="1" applyBorder="1" applyAlignment="1">
      <alignment horizontal="right"/>
    </xf>
    <xf numFmtId="168" fontId="0" fillId="0" borderId="3" xfId="1" quotePrefix="1" applyNumberFormat="1" applyFont="1" applyFill="1" applyBorder="1" applyAlignment="1">
      <alignment horizontal="right"/>
    </xf>
    <xf numFmtId="168" fontId="0" fillId="0" borderId="4" xfId="1" applyNumberFormat="1" applyFont="1" applyBorder="1" applyAlignment="1">
      <alignment horizontal="right"/>
    </xf>
    <xf numFmtId="168" fontId="4" fillId="0" borderId="3" xfId="1" quotePrefix="1" applyNumberFormat="1" applyFont="1" applyFill="1" applyBorder="1" applyAlignment="1">
      <alignment horizontal="right"/>
    </xf>
    <xf numFmtId="168" fontId="2" fillId="0" borderId="4" xfId="1" applyNumberFormat="1" applyFont="1" applyBorder="1" applyAlignment="1">
      <alignment horizontal="right"/>
    </xf>
    <xf numFmtId="168" fontId="2" fillId="0" borderId="3" xfId="1" applyNumberFormat="1" applyFont="1" applyBorder="1" applyAlignment="1">
      <alignment horizontal="right"/>
    </xf>
    <xf numFmtId="168" fontId="2" fillId="0" borderId="5" xfId="1" applyNumberFormat="1" applyFont="1" applyBorder="1"/>
    <xf numFmtId="168" fontId="4" fillId="0" borderId="0" xfId="1" applyNumberFormat="1" applyFont="1" applyBorder="1" applyAlignment="1">
      <alignment horizontal="right"/>
    </xf>
    <xf numFmtId="168" fontId="4" fillId="0" borderId="4" xfId="1" applyNumberFormat="1" applyFont="1" applyBorder="1" applyAlignment="1">
      <alignment horizontal="right"/>
    </xf>
    <xf numFmtId="168" fontId="4" fillId="0" borderId="3" xfId="1" applyNumberFormat="1" applyFont="1" applyBorder="1" applyAlignment="1">
      <alignment horizontal="right"/>
    </xf>
    <xf numFmtId="43" fontId="0" fillId="0" borderId="8" xfId="1" applyFont="1" applyFill="1" applyBorder="1"/>
    <xf numFmtId="170" fontId="2" fillId="0" borderId="5" xfId="1" quotePrefix="1" applyNumberFormat="1" applyFont="1" applyFill="1" applyBorder="1" applyAlignment="1">
      <alignment horizontal="right"/>
    </xf>
    <xf numFmtId="226" fontId="0" fillId="0" borderId="5" xfId="1" applyNumberFormat="1" applyFont="1" applyFill="1" applyBorder="1" applyAlignment="1">
      <alignment horizontal="right"/>
    </xf>
    <xf numFmtId="0" fontId="8" fillId="0" borderId="3" xfId="0" applyFont="1" applyFill="1" applyBorder="1" applyAlignment="1">
      <alignment horizontal="left"/>
    </xf>
    <xf numFmtId="0" fontId="0" fillId="0" borderId="6" xfId="0" applyFont="1" applyFill="1" applyBorder="1" applyAlignment="1">
      <alignment horizontal="left"/>
    </xf>
    <xf numFmtId="0" fontId="0" fillId="0" borderId="10" xfId="0" applyFont="1" applyFill="1" applyBorder="1" applyAlignment="1">
      <alignment horizontal="left"/>
    </xf>
    <xf numFmtId="167" fontId="0" fillId="0" borderId="7" xfId="1" applyNumberFormat="1" applyFont="1" applyFill="1" applyBorder="1" applyAlignment="1">
      <alignment horizontal="right"/>
    </xf>
    <xf numFmtId="168" fontId="3" fillId="0" borderId="8" xfId="1" quotePrefix="1" applyNumberFormat="1" applyFont="1" applyFill="1" applyBorder="1" applyAlignment="1">
      <alignment horizontal="right"/>
    </xf>
    <xf numFmtId="170" fontId="0" fillId="0" borderId="33" xfId="1" applyNumberFormat="1" applyFont="1" applyFill="1" applyBorder="1" applyAlignment="1">
      <alignment horizontal="right"/>
    </xf>
    <xf numFmtId="43" fontId="2" fillId="0" borderId="9" xfId="1" applyNumberFormat="1" applyFont="1" applyFill="1" applyBorder="1" applyAlignment="1">
      <alignment horizontal="left"/>
    </xf>
    <xf numFmtId="0" fontId="74" fillId="0" borderId="3" xfId="0" applyFont="1" applyFill="1" applyBorder="1" applyAlignment="1">
      <alignment horizontal="left"/>
    </xf>
    <xf numFmtId="0" fontId="74" fillId="0" borderId="4" xfId="0" applyFont="1" applyFill="1" applyBorder="1" applyAlignment="1">
      <alignment horizontal="left"/>
    </xf>
    <xf numFmtId="0" fontId="74" fillId="0" borderId="0" xfId="0" applyFont="1" applyFill="1"/>
    <xf numFmtId="168" fontId="74" fillId="0" borderId="0" xfId="1" quotePrefix="1" applyNumberFormat="1" applyFont="1" applyFill="1" applyBorder="1" applyAlignment="1">
      <alignment horizontal="right"/>
    </xf>
    <xf numFmtId="168" fontId="74" fillId="0" borderId="5" xfId="1" quotePrefix="1" applyNumberFormat="1" applyFont="1" applyFill="1" applyBorder="1" applyAlignment="1">
      <alignment horizontal="right"/>
    </xf>
    <xf numFmtId="168" fontId="10" fillId="4" borderId="0" xfId="1" applyNumberFormat="1" applyFont="1" applyFill="1" applyBorder="1" applyAlignment="1">
      <alignment horizontal="right"/>
    </xf>
    <xf numFmtId="168" fontId="74" fillId="2" borderId="0" xfId="1" quotePrefix="1" applyNumberFormat="1" applyFont="1" applyFill="1" applyBorder="1" applyAlignment="1">
      <alignment horizontal="right"/>
    </xf>
    <xf numFmtId="168" fontId="1" fillId="12" borderId="5" xfId="1" applyNumberFormat="1" applyFont="1" applyFill="1" applyBorder="1" applyAlignment="1">
      <alignment horizontal="right"/>
    </xf>
    <xf numFmtId="43" fontId="12" fillId="4" borderId="0" xfId="1" applyNumberFormat="1" applyFont="1" applyFill="1" applyBorder="1" applyAlignment="1">
      <alignment horizontal="right"/>
    </xf>
    <xf numFmtId="43" fontId="2" fillId="12" borderId="5" xfId="1" applyNumberFormat="1" applyFont="1" applyFill="1" applyBorder="1" applyAlignment="1">
      <alignment horizontal="right"/>
    </xf>
    <xf numFmtId="169" fontId="0" fillId="0" borderId="0" xfId="2" applyNumberFormat="1" applyFont="1" applyFill="1" applyAlignment="1">
      <alignment horizontal="right"/>
    </xf>
    <xf numFmtId="169" fontId="0" fillId="0" borderId="0" xfId="1" applyNumberFormat="1" applyFont="1" applyFill="1" applyAlignment="1">
      <alignment horizontal="right"/>
    </xf>
    <xf numFmtId="43" fontId="2" fillId="0" borderId="4" xfId="1" applyNumberFormat="1" applyFont="1" applyBorder="1" applyAlignment="1">
      <alignment horizontal="right"/>
    </xf>
    <xf numFmtId="170" fontId="0" fillId="0" borderId="4" xfId="2" applyNumberFormat="1" applyFont="1" applyFill="1" applyBorder="1" applyAlignment="1">
      <alignment horizontal="right"/>
    </xf>
    <xf numFmtId="170" fontId="0" fillId="0" borderId="4" xfId="1" applyNumberFormat="1" applyFont="1" applyFill="1" applyBorder="1" applyAlignment="1">
      <alignment horizontal="right"/>
    </xf>
    <xf numFmtId="170" fontId="0" fillId="2" borderId="4" xfId="1" applyNumberFormat="1" applyFont="1" applyFill="1" applyBorder="1" applyAlignment="1">
      <alignment horizontal="right"/>
    </xf>
  </cellXfs>
  <cellStyles count="345">
    <cellStyle name="_%(SignOnly)" xfId="7"/>
    <cellStyle name="_%(SignSpaceOnly)" xfId="8"/>
    <cellStyle name="_Comma" xfId="9"/>
    <cellStyle name="_Currency" xfId="10"/>
    <cellStyle name="_CurrencySpace" xfId="11"/>
    <cellStyle name="_Euro" xfId="12"/>
    <cellStyle name="_Heading" xfId="13"/>
    <cellStyle name="_Heading_prestemp" xfId="14"/>
    <cellStyle name="_Heading_prestemp_1st Qtr PL FY07" xfId="15"/>
    <cellStyle name="_Heading_prestemp_Financial Statements" xfId="16"/>
    <cellStyle name="_Heading_prestemp_Financial Statementsvs1" xfId="17"/>
    <cellStyle name="_Highlight" xfId="18"/>
    <cellStyle name="_Multiple" xfId="19"/>
    <cellStyle name="_MultipleSpace" xfId="20"/>
    <cellStyle name="_SubHeading" xfId="21"/>
    <cellStyle name="_SubHeading_prestemp" xfId="22"/>
    <cellStyle name="_SubHeading_prestemp_1st Qtr PL FY07" xfId="23"/>
    <cellStyle name="_SubHeading_prestemp_Financial Statements" xfId="24"/>
    <cellStyle name="_SubHeading_prestemp_Financial Statementsvs1" xfId="25"/>
    <cellStyle name="_Table" xfId="26"/>
    <cellStyle name="_TableHead" xfId="27"/>
    <cellStyle name="_TableRowHead" xfId="28"/>
    <cellStyle name="_TableSuperHead" xfId="29"/>
    <cellStyle name="=C:\WINNT\SYSTEM32\COMMAND.COM" xfId="30"/>
    <cellStyle name="=C:\WINNT\SYSTEM32\COMMAND.COM 2" xfId="255"/>
    <cellStyle name="6-0" xfId="31"/>
    <cellStyle name="Bold12" xfId="32"/>
    <cellStyle name="BoldItal12" xfId="33"/>
    <cellStyle name="Border" xfId="34"/>
    <cellStyle name="Border 10" xfId="35"/>
    <cellStyle name="Border 11" xfId="36"/>
    <cellStyle name="Border 12" xfId="37"/>
    <cellStyle name="Border 13" xfId="38"/>
    <cellStyle name="Border 14" xfId="39"/>
    <cellStyle name="Border 15" xfId="40"/>
    <cellStyle name="Border 16" xfId="41"/>
    <cellStyle name="Border 17" xfId="42"/>
    <cellStyle name="Border 18" xfId="43"/>
    <cellStyle name="Border 19" xfId="44"/>
    <cellStyle name="Border 2" xfId="45"/>
    <cellStyle name="Border 20" xfId="46"/>
    <cellStyle name="Border 21" xfId="47"/>
    <cellStyle name="Border 22" xfId="48"/>
    <cellStyle name="Border 23" xfId="49"/>
    <cellStyle name="Border 24" xfId="50"/>
    <cellStyle name="Border 25" xfId="51"/>
    <cellStyle name="Border 26" xfId="52"/>
    <cellStyle name="Border 27" xfId="53"/>
    <cellStyle name="Border 28" xfId="54"/>
    <cellStyle name="Border 29" xfId="55"/>
    <cellStyle name="Border 3" xfId="56"/>
    <cellStyle name="Border 30" xfId="57"/>
    <cellStyle name="Border 31" xfId="58"/>
    <cellStyle name="Border 32" xfId="59"/>
    <cellStyle name="Border 33" xfId="60"/>
    <cellStyle name="Border 34" xfId="61"/>
    <cellStyle name="Border 35" xfId="62"/>
    <cellStyle name="Border 36" xfId="63"/>
    <cellStyle name="Border 37" xfId="64"/>
    <cellStyle name="Border 38" xfId="65"/>
    <cellStyle name="Border 39" xfId="66"/>
    <cellStyle name="Border 4" xfId="67"/>
    <cellStyle name="Border 40" xfId="68"/>
    <cellStyle name="Border 41" xfId="69"/>
    <cellStyle name="Border 42" xfId="70"/>
    <cellStyle name="Border 5" xfId="71"/>
    <cellStyle name="Border 6" xfId="72"/>
    <cellStyle name="Border 7" xfId="73"/>
    <cellStyle name="Border 8" xfId="74"/>
    <cellStyle name="Border 9" xfId="75"/>
    <cellStyle name="Calc Currency (0)" xfId="76"/>
    <cellStyle name="Calc Currency (0) 2" xfId="256"/>
    <cellStyle name="Calc Currency (2)" xfId="77"/>
    <cellStyle name="Calc Currency (2) 2" xfId="257"/>
    <cellStyle name="Calc Percent (0)" xfId="78"/>
    <cellStyle name="Calc Percent (0) 2" xfId="258"/>
    <cellStyle name="Calc Percent (1)" xfId="79"/>
    <cellStyle name="Calc Percent (1) 2" xfId="259"/>
    <cellStyle name="Calc Percent (2)" xfId="80"/>
    <cellStyle name="Calc Percent (2) 2" xfId="260"/>
    <cellStyle name="Calc Units (0)" xfId="81"/>
    <cellStyle name="Calc Units (0) 2" xfId="261"/>
    <cellStyle name="Calc Units (1)" xfId="82"/>
    <cellStyle name="Calc Units (1) 2" xfId="262"/>
    <cellStyle name="Calc Units (2)" xfId="83"/>
    <cellStyle name="Calc Units (2) 2" xfId="263"/>
    <cellStyle name="Centered Heading" xfId="84"/>
    <cellStyle name="columns" xfId="85"/>
    <cellStyle name="Comma" xfId="1" builtinId="3"/>
    <cellStyle name="Comma  - Style1" xfId="264"/>
    <cellStyle name="Comma  - Style2" xfId="265"/>
    <cellStyle name="Comma  - Style3" xfId="266"/>
    <cellStyle name="Comma  - Style4" xfId="267"/>
    <cellStyle name="Comma  - Style5" xfId="268"/>
    <cellStyle name="Comma  - Style6" xfId="269"/>
    <cellStyle name="Comma  - Style7" xfId="270"/>
    <cellStyle name="Comma  - Style8" xfId="271"/>
    <cellStyle name="comma (0)" xfId="86"/>
    <cellStyle name="comma (0) 2" xfId="87"/>
    <cellStyle name="comma (0) 2 2" xfId="272"/>
    <cellStyle name="comma (0) 3" xfId="88"/>
    <cellStyle name="Comma [00]" xfId="89"/>
    <cellStyle name="Comma [00] 2" xfId="273"/>
    <cellStyle name="Comma 2" xfId="5"/>
    <cellStyle name="Comma 2 2" xfId="91"/>
    <cellStyle name="Comma 2 2 2" xfId="274"/>
    <cellStyle name="Comma 2 3" xfId="92"/>
    <cellStyle name="Comma 2 4" xfId="93"/>
    <cellStyle name="Comma 2 5" xfId="275"/>
    <cellStyle name="Comma 2 6" xfId="90"/>
    <cellStyle name="Comma 3" xfId="94"/>
    <cellStyle name="Comma 3 2" xfId="276"/>
    <cellStyle name="Comma 4" xfId="95"/>
    <cellStyle name="Comma 4 2" xfId="277"/>
    <cellStyle name="Comma 5" xfId="96"/>
    <cellStyle name="Comma 5 2" xfId="317"/>
    <cellStyle name="Comma Acctg" xfId="97"/>
    <cellStyle name="Comma Acctg 2" xfId="98"/>
    <cellStyle name="Comma0" xfId="99"/>
    <cellStyle name="Company Name" xfId="100"/>
    <cellStyle name="Contracts" xfId="101"/>
    <cellStyle name="CR Comma" xfId="102"/>
    <cellStyle name="CR Currency" xfId="103"/>
    <cellStyle name="curr" xfId="104"/>
    <cellStyle name="Currency [00]" xfId="105"/>
    <cellStyle name="Currency [00] 2" xfId="278"/>
    <cellStyle name="Currency 2" xfId="106"/>
    <cellStyle name="Currency Acctg" xfId="107"/>
    <cellStyle name="Currency0" xfId="108"/>
    <cellStyle name="Data" xfId="109"/>
    <cellStyle name="Date" xfId="110"/>
    <cellStyle name="Date Short" xfId="111"/>
    <cellStyle name="DateJoel" xfId="112"/>
    <cellStyle name="debbie" xfId="113"/>
    <cellStyle name="Dezimal [0]_laroux" xfId="114"/>
    <cellStyle name="Dezimal_laroux" xfId="115"/>
    <cellStyle name="Enter Currency (0)" xfId="116"/>
    <cellStyle name="Enter Currency (0) 2" xfId="279"/>
    <cellStyle name="Enter Currency (2)" xfId="117"/>
    <cellStyle name="Enter Currency (2) 2" xfId="280"/>
    <cellStyle name="Enter Units (0)" xfId="118"/>
    <cellStyle name="Enter Units (0) 2" xfId="281"/>
    <cellStyle name="Enter Units (1)" xfId="119"/>
    <cellStyle name="Enter Units (1) 2" xfId="282"/>
    <cellStyle name="Enter Units (2)" xfId="120"/>
    <cellStyle name="Enter Units (2) 2" xfId="283"/>
    <cellStyle name="eps" xfId="121"/>
    <cellStyle name="Euro" xfId="122"/>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Grey" xfId="123"/>
    <cellStyle name="Header1" xfId="124"/>
    <cellStyle name="Header2" xfId="125"/>
    <cellStyle name="Header2 10" xfId="126"/>
    <cellStyle name="Header2 11" xfId="127"/>
    <cellStyle name="Header2 12" xfId="128"/>
    <cellStyle name="Header2 13" xfId="129"/>
    <cellStyle name="Header2 14" xfId="130"/>
    <cellStyle name="Header2 15" xfId="131"/>
    <cellStyle name="Header2 16" xfId="132"/>
    <cellStyle name="Header2 17" xfId="133"/>
    <cellStyle name="Header2 18" xfId="134"/>
    <cellStyle name="Header2 19" xfId="135"/>
    <cellStyle name="Header2 2" xfId="136"/>
    <cellStyle name="Header2 20" xfId="137"/>
    <cellStyle name="Header2 21" xfId="138"/>
    <cellStyle name="Header2 22" xfId="139"/>
    <cellStyle name="Header2 23" xfId="140"/>
    <cellStyle name="Header2 24" xfId="141"/>
    <cellStyle name="Header2 25" xfId="142"/>
    <cellStyle name="Header2 26" xfId="143"/>
    <cellStyle name="Header2 27" xfId="144"/>
    <cellStyle name="Header2 28" xfId="145"/>
    <cellStyle name="Header2 29" xfId="146"/>
    <cellStyle name="Header2 3" xfId="147"/>
    <cellStyle name="Header2 30" xfId="148"/>
    <cellStyle name="Header2 31" xfId="149"/>
    <cellStyle name="Header2 32" xfId="150"/>
    <cellStyle name="Header2 33" xfId="151"/>
    <cellStyle name="Header2 34" xfId="152"/>
    <cellStyle name="Header2 35" xfId="153"/>
    <cellStyle name="Header2 36" xfId="154"/>
    <cellStyle name="Header2 37" xfId="155"/>
    <cellStyle name="Header2 38" xfId="156"/>
    <cellStyle name="Header2 39" xfId="157"/>
    <cellStyle name="Header2 4" xfId="158"/>
    <cellStyle name="Header2 40" xfId="159"/>
    <cellStyle name="Header2 41" xfId="160"/>
    <cellStyle name="Header2 42" xfId="161"/>
    <cellStyle name="Header2 5" xfId="162"/>
    <cellStyle name="Header2 6" xfId="163"/>
    <cellStyle name="Header2 7" xfId="164"/>
    <cellStyle name="Header2 8" xfId="165"/>
    <cellStyle name="Header2 9" xfId="166"/>
    <cellStyle name="Heading" xfId="167"/>
    <cellStyle name="Heading 1 2" xfId="168"/>
    <cellStyle name="Heading 1 3" xfId="169"/>
    <cellStyle name="Heading 1 4" xfId="170"/>
    <cellStyle name="Heading 2 2" xfId="171"/>
    <cellStyle name="Heading 2 3" xfId="172"/>
    <cellStyle name="Heading 2 4" xfId="173"/>
    <cellStyle name="Heading No Underline" xfId="174"/>
    <cellStyle name="Heading With Underline" xfId="175"/>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2" xfId="284"/>
    <cellStyle name="Hyperlink 2 2" xfId="319"/>
    <cellStyle name="Hyperlink 2 2 2" xfId="320"/>
    <cellStyle name="Hyperlink 3" xfId="285"/>
    <cellStyle name="Hyperlink 4" xfId="321"/>
    <cellStyle name="Input [yellow]" xfId="176"/>
    <cellStyle name="Link Currency (0)" xfId="177"/>
    <cellStyle name="Link Currency (0) 2" xfId="286"/>
    <cellStyle name="Link Currency (2)" xfId="178"/>
    <cellStyle name="Link Currency (2) 2" xfId="287"/>
    <cellStyle name="Link Units (0)" xfId="179"/>
    <cellStyle name="Link Units (0) 2" xfId="288"/>
    <cellStyle name="Link Units (1)" xfId="180"/>
    <cellStyle name="Link Units (1) 2" xfId="289"/>
    <cellStyle name="Link Units (2)" xfId="181"/>
    <cellStyle name="Link Units (2) 2" xfId="290"/>
    <cellStyle name="Millares [0]_pldt" xfId="182"/>
    <cellStyle name="Millares_pldt" xfId="183"/>
    <cellStyle name="Milliers [0]_AR1194" xfId="184"/>
    <cellStyle name="Milliers_AR1194" xfId="185"/>
    <cellStyle name="Moneda [0]_pldt" xfId="186"/>
    <cellStyle name="Moneda_pldt" xfId="187"/>
    <cellStyle name="Monétaire [0]_AR1194" xfId="188"/>
    <cellStyle name="Monétaire_AR1194" xfId="189"/>
    <cellStyle name="negativ" xfId="190"/>
    <cellStyle name="no dec" xfId="191"/>
    <cellStyle name="nodollars" xfId="192"/>
    <cellStyle name="nodollars 2" xfId="193"/>
    <cellStyle name="Normal" xfId="0" builtinId="0"/>
    <cellStyle name="Normal - Style1" xfId="194"/>
    <cellStyle name="Normal - Style1 2" xfId="291"/>
    <cellStyle name="Normal - Style2" xfId="292"/>
    <cellStyle name="Normal - Style3" xfId="293"/>
    <cellStyle name="Normal - Style4" xfId="294"/>
    <cellStyle name="Normal - Style5" xfId="295"/>
    <cellStyle name="Normal 10" xfId="322"/>
    <cellStyle name="Normal 2" xfId="3"/>
    <cellStyle name="Normal 2 2" xfId="196"/>
    <cellStyle name="Normal 2 2 2" xfId="197"/>
    <cellStyle name="Normal 2 3" xfId="198"/>
    <cellStyle name="Normal 2 3 2" xfId="296"/>
    <cellStyle name="Normal 2 4" xfId="199"/>
    <cellStyle name="Normal 2 5" xfId="297"/>
    <cellStyle name="Normal 2 6" xfId="323"/>
    <cellStyle name="Normal 2 7" xfId="324"/>
    <cellStyle name="Normal 2 8" xfId="195"/>
    <cellStyle name="Normal 3" xfId="4"/>
    <cellStyle name="Normal 3 2" xfId="298"/>
    <cellStyle name="Normal 3 3" xfId="299"/>
    <cellStyle name="Normal 3 4" xfId="200"/>
    <cellStyle name="Normal 4" xfId="201"/>
    <cellStyle name="Normal 5" xfId="6"/>
    <cellStyle name="Normal 5 2" xfId="300"/>
    <cellStyle name="Normal 6" xfId="202"/>
    <cellStyle name="Normal 6 2" xfId="301"/>
    <cellStyle name="Normal 6 3" xfId="302"/>
    <cellStyle name="Normal 7" xfId="203"/>
    <cellStyle name="Normal 7 2" xfId="303"/>
    <cellStyle name="Normal 8" xfId="204"/>
    <cellStyle name="Normal 8 2" xfId="304"/>
    <cellStyle name="Normal 8 3" xfId="316"/>
    <cellStyle name="Normal 9" xfId="325"/>
    <cellStyle name="Number0DecimalStyle" xfId="205"/>
    <cellStyle name="Number0DecimalStyle 2" xfId="253"/>
    <cellStyle name="Number10DecimalStyle" xfId="206"/>
    <cellStyle name="Number1DecimalStyle" xfId="207"/>
    <cellStyle name="Number2DecimalStyle" xfId="208"/>
    <cellStyle name="Number2DecimalStyle 2" xfId="254"/>
    <cellStyle name="Number3DecimalStyle" xfId="209"/>
    <cellStyle name="Number4DecimalStyle" xfId="210"/>
    <cellStyle name="Number5DecimalStyle" xfId="211"/>
    <cellStyle name="Number6DecimalStyle" xfId="212"/>
    <cellStyle name="Number7DecimalStyle" xfId="213"/>
    <cellStyle name="Number8DecimalStyle" xfId="214"/>
    <cellStyle name="Number9DecimalStyle" xfId="215"/>
    <cellStyle name="over" xfId="216"/>
    <cellStyle name="Percent" xfId="2" builtinId="5"/>
    <cellStyle name="percent (0)" xfId="217"/>
    <cellStyle name="Percent [0]" xfId="218"/>
    <cellStyle name="Percent [0] 2" xfId="305"/>
    <cellStyle name="Percent [00]" xfId="219"/>
    <cellStyle name="Percent [00] 2" xfId="306"/>
    <cellStyle name="Percent [2]" xfId="220"/>
    <cellStyle name="Percent 10" xfId="318"/>
    <cellStyle name="Percent 2" xfId="221"/>
    <cellStyle name="Percent 2 2" xfId="222"/>
    <cellStyle name="Percent 2 3" xfId="223"/>
    <cellStyle name="Percent 2 4" xfId="224"/>
    <cellStyle name="Percent 3" xfId="225"/>
    <cellStyle name="Percent 3 2" xfId="307"/>
    <cellStyle name="Percent 4" xfId="308"/>
    <cellStyle name="Percent 6" xfId="326"/>
    <cellStyle name="PERCENTAGE" xfId="226"/>
    <cellStyle name="posit" xfId="227"/>
    <cellStyle name="Powerpoint Style" xfId="228"/>
    <cellStyle name="PrePop Currency (0)" xfId="229"/>
    <cellStyle name="PrePop Currency (0) 2" xfId="309"/>
    <cellStyle name="PrePop Currency (2)" xfId="230"/>
    <cellStyle name="PrePop Currency (2) 2" xfId="310"/>
    <cellStyle name="PrePop Units (0)" xfId="231"/>
    <cellStyle name="PrePop Units (0) 2" xfId="311"/>
    <cellStyle name="PrePop Units (1)" xfId="232"/>
    <cellStyle name="PrePop Units (1) 2" xfId="312"/>
    <cellStyle name="PrePop Units (2)" xfId="233"/>
    <cellStyle name="PrePop Units (2) 2" xfId="313"/>
    <cellStyle name="SingleTopDoubleBott" xfId="234"/>
    <cellStyle name="Standard_A" xfId="235"/>
    <cellStyle name="Style 1" xfId="236"/>
    <cellStyle name="Style 2" xfId="237"/>
    <cellStyle name="Style 3" xfId="327"/>
    <cellStyle name="Style 4" xfId="328"/>
    <cellStyle name="Text Indent A" xfId="238"/>
    <cellStyle name="Text Indent B" xfId="239"/>
    <cellStyle name="Text Indent B 2" xfId="314"/>
    <cellStyle name="Text Indent C" xfId="240"/>
    <cellStyle name="Text Indent C 2" xfId="315"/>
    <cellStyle name="TextStyle" xfId="241"/>
    <cellStyle name="Tickmark" xfId="242"/>
    <cellStyle name="TimStyle" xfId="243"/>
    <cellStyle name="Total 2" xfId="244"/>
    <cellStyle name="Total 3" xfId="245"/>
    <cellStyle name="Total 4" xfId="246"/>
    <cellStyle name="Underline" xfId="247"/>
    <cellStyle name="UnderlineDouble" xfId="248"/>
    <cellStyle name="Währung [0]_RESULTS" xfId="249"/>
    <cellStyle name="Währung_RESULTS" xfId="250"/>
    <cellStyle name="표준_BINV" xfId="251"/>
    <cellStyle name="標準_99B-05PE_IC2" xfId="2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721-4EFC-AAD3-C4056A0A7B99}"/>
            </c:ext>
          </c:extLst>
        </c:ser>
        <c:dLbls>
          <c:showLegendKey val="0"/>
          <c:showVal val="0"/>
          <c:showCatName val="0"/>
          <c:showSerName val="0"/>
          <c:showPercent val="0"/>
          <c:showBubbleSize val="0"/>
        </c:dLbls>
        <c:smooth val="0"/>
        <c:axId val="2108265400"/>
        <c:axId val="-2100668296"/>
      </c:lineChart>
      <c:catAx>
        <c:axId val="210826540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2100668296"/>
        <c:crosses val="autoZero"/>
        <c:auto val="1"/>
        <c:lblAlgn val="ctr"/>
        <c:lblOffset val="100"/>
        <c:tickLblSkip val="7"/>
        <c:noMultiLvlLbl val="1"/>
      </c:catAx>
      <c:valAx>
        <c:axId val="-2100668296"/>
        <c:scaling>
          <c:orientation val="minMax"/>
        </c:scaling>
        <c:delete val="0"/>
        <c:axPos val="l"/>
        <c:majorGridlines/>
        <c:numFmt formatCode="0.0\x" sourceLinked="0"/>
        <c:majorTickMark val="out"/>
        <c:minorTickMark val="none"/>
        <c:tickLblPos val="nextTo"/>
        <c:crossAx val="210826540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C4A-4712-9787-47F5870BB50C}"/>
            </c:ext>
          </c:extLst>
        </c:ser>
        <c:dLbls>
          <c:showLegendKey val="0"/>
          <c:showVal val="0"/>
          <c:showCatName val="0"/>
          <c:showSerName val="0"/>
          <c:showPercent val="0"/>
          <c:showBubbleSize val="0"/>
        </c:dLbls>
        <c:smooth val="0"/>
        <c:axId val="-2100368968"/>
        <c:axId val="-2100569640"/>
      </c:lineChart>
      <c:catAx>
        <c:axId val="-21003689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2100569640"/>
        <c:crosses val="autoZero"/>
        <c:auto val="1"/>
        <c:lblAlgn val="ctr"/>
        <c:lblOffset val="100"/>
        <c:tickLblSkip val="7"/>
        <c:noMultiLvlLbl val="1"/>
      </c:catAx>
      <c:valAx>
        <c:axId val="-2100569640"/>
        <c:scaling>
          <c:orientation val="minMax"/>
        </c:scaling>
        <c:delete val="0"/>
        <c:axPos val="l"/>
        <c:majorGridlines/>
        <c:numFmt formatCode="0.0\x" sourceLinked="0"/>
        <c:majorTickMark val="out"/>
        <c:minorTickMark val="none"/>
        <c:tickLblPos val="nextTo"/>
        <c:crossAx val="-21003689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77F-4015-B873-EB220D30F9CA}"/>
            </c:ext>
          </c:extLst>
        </c:ser>
        <c:dLbls>
          <c:showLegendKey val="0"/>
          <c:showVal val="0"/>
          <c:showCatName val="0"/>
          <c:showSerName val="0"/>
          <c:showPercent val="0"/>
          <c:showBubbleSize val="0"/>
        </c:dLbls>
        <c:smooth val="0"/>
        <c:axId val="2115126312"/>
        <c:axId val="2116055176"/>
      </c:lineChart>
      <c:catAx>
        <c:axId val="211512631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2116055176"/>
        <c:crosses val="autoZero"/>
        <c:auto val="1"/>
        <c:lblAlgn val="ctr"/>
        <c:lblOffset val="100"/>
        <c:tickLblSkip val="7"/>
        <c:noMultiLvlLbl val="1"/>
      </c:catAx>
      <c:valAx>
        <c:axId val="2116055176"/>
        <c:scaling>
          <c:orientation val="minMax"/>
        </c:scaling>
        <c:delete val="0"/>
        <c:axPos val="l"/>
        <c:majorGridlines/>
        <c:numFmt formatCode="0.0\x" sourceLinked="0"/>
        <c:majorTickMark val="out"/>
        <c:minorTickMark val="none"/>
        <c:tickLblPos val="nextTo"/>
        <c:crossAx val="211512631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236802</xdr:colOff>
      <xdr:row>30</xdr:row>
      <xdr:rowOff>0</xdr:rowOff>
    </xdr:from>
    <xdr:to>
      <xdr:col>11</xdr:col>
      <xdr:colOff>718343</xdr:colOff>
      <xdr:row>30</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69</xdr:row>
      <xdr:rowOff>0</xdr:rowOff>
    </xdr:from>
    <xdr:to>
      <xdr:col>11</xdr:col>
      <xdr:colOff>718343</xdr:colOff>
      <xdr:row>69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110</xdr:row>
      <xdr:rowOff>0</xdr:rowOff>
    </xdr:from>
    <xdr:to>
      <xdr:col>11</xdr:col>
      <xdr:colOff>718343</xdr:colOff>
      <xdr:row>110</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pple%20Model%209-3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rnings Model"/>
      <sheetName val="BOTE"/>
      <sheetName val="Estimates by Analyst"/>
      <sheetName val="After Earnings"/>
      <sheetName val="Charts"/>
      <sheetName val="Terms of Use"/>
    </sheetNames>
    <sheetDataSet>
      <sheetData sheetId="0"/>
      <sheetData sheetId="1"/>
      <sheetData sheetId="2">
        <row r="6">
          <cell r="B6" t="str">
            <v>Raymond James</v>
          </cell>
          <cell r="C6" t="str">
            <v>TAVIS C MCCOURT</v>
          </cell>
          <cell r="D6" t="str">
            <v>market perform</v>
          </cell>
          <cell r="E6">
            <v>42209</v>
          </cell>
          <cell r="F6">
            <v>0</v>
          </cell>
          <cell r="G6">
            <v>14314</v>
          </cell>
          <cell r="H6">
            <v>10550</v>
          </cell>
          <cell r="I6">
            <v>50163</v>
          </cell>
          <cell r="J6">
            <v>13914</v>
          </cell>
          <cell r="K6">
            <v>1.84</v>
          </cell>
          <cell r="L6">
            <v>33.299999999999997</v>
          </cell>
          <cell r="M6">
            <v>-146185</v>
          </cell>
        </row>
        <row r="7">
          <cell r="B7" t="str">
            <v>Exane BNP Paribas</v>
          </cell>
          <cell r="C7" t="str">
            <v>ALEXANDER PETERC</v>
          </cell>
          <cell r="D7" t="str">
            <v>outperform</v>
          </cell>
          <cell r="E7">
            <v>42209</v>
          </cell>
          <cell r="F7">
            <v>150</v>
          </cell>
          <cell r="G7">
            <v>0</v>
          </cell>
          <cell r="H7">
            <v>0</v>
          </cell>
          <cell r="I7">
            <v>0</v>
          </cell>
          <cell r="J7">
            <v>0</v>
          </cell>
          <cell r="K7">
            <v>0</v>
          </cell>
          <cell r="L7">
            <v>0</v>
          </cell>
          <cell r="M7">
            <v>0</v>
          </cell>
        </row>
        <row r="8">
          <cell r="B8" t="str">
            <v>Morgan Stanley</v>
          </cell>
          <cell r="C8" t="str">
            <v>KATHRYN HUBERTY</v>
          </cell>
          <cell r="D8" t="str">
            <v>Overwt/Cautious</v>
          </cell>
          <cell r="E8">
            <v>42208</v>
          </cell>
          <cell r="F8">
            <v>155</v>
          </cell>
          <cell r="G8">
            <v>0</v>
          </cell>
          <cell r="H8">
            <v>0</v>
          </cell>
          <cell r="I8">
            <v>0</v>
          </cell>
          <cell r="J8">
            <v>0</v>
          </cell>
          <cell r="K8">
            <v>0</v>
          </cell>
          <cell r="L8">
            <v>0</v>
          </cell>
          <cell r="M8">
            <v>0</v>
          </cell>
        </row>
        <row r="9">
          <cell r="B9" t="str">
            <v>BMO Capital Markets</v>
          </cell>
          <cell r="C9" t="str">
            <v>KEITH F BACHMAN</v>
          </cell>
          <cell r="D9" t="str">
            <v>outperform</v>
          </cell>
          <cell r="E9">
            <v>42207</v>
          </cell>
          <cell r="F9">
            <v>145</v>
          </cell>
          <cell r="G9">
            <v>0</v>
          </cell>
          <cell r="H9">
            <v>0</v>
          </cell>
          <cell r="I9">
            <v>0</v>
          </cell>
          <cell r="J9">
            <v>0</v>
          </cell>
          <cell r="K9">
            <v>0</v>
          </cell>
          <cell r="L9">
            <v>0</v>
          </cell>
          <cell r="M9">
            <v>0</v>
          </cell>
        </row>
        <row r="10">
          <cell r="B10" t="str">
            <v>Societe Generale</v>
          </cell>
          <cell r="C10" t="str">
            <v>ANDY PERKINS</v>
          </cell>
          <cell r="D10" t="str">
            <v>buy</v>
          </cell>
          <cell r="E10">
            <v>42207</v>
          </cell>
          <cell r="F10">
            <v>140</v>
          </cell>
          <cell r="G10">
            <v>14395</v>
          </cell>
          <cell r="H10">
            <v>10652</v>
          </cell>
          <cell r="I10">
            <v>49101</v>
          </cell>
          <cell r="J10">
            <v>0</v>
          </cell>
          <cell r="K10">
            <v>1.87</v>
          </cell>
          <cell r="L10">
            <v>0</v>
          </cell>
          <cell r="M10">
            <v>0</v>
          </cell>
        </row>
        <row r="11">
          <cell r="B11" t="str">
            <v>ABG Sundal Collier</v>
          </cell>
          <cell r="C11" t="str">
            <v>PER LINDBERG</v>
          </cell>
          <cell r="D11" t="str">
            <v>sell</v>
          </cell>
          <cell r="E11">
            <v>42207</v>
          </cell>
          <cell r="F11">
            <v>65</v>
          </cell>
          <cell r="G11">
            <v>0</v>
          </cell>
          <cell r="H11">
            <v>0</v>
          </cell>
          <cell r="I11">
            <v>0</v>
          </cell>
          <cell r="J11">
            <v>0</v>
          </cell>
          <cell r="K11">
            <v>0</v>
          </cell>
          <cell r="L11">
            <v>0</v>
          </cell>
          <cell r="M11">
            <v>0</v>
          </cell>
        </row>
        <row r="12">
          <cell r="B12" t="str">
            <v>RBC Capital Markets</v>
          </cell>
          <cell r="C12" t="str">
            <v>AMIT DARYANANI</v>
          </cell>
          <cell r="D12" t="str">
            <v>outperform</v>
          </cell>
          <cell r="E12">
            <v>42207</v>
          </cell>
          <cell r="F12">
            <v>150</v>
          </cell>
          <cell r="G12">
            <v>0</v>
          </cell>
          <cell r="H12">
            <v>0</v>
          </cell>
          <cell r="I12">
            <v>0</v>
          </cell>
          <cell r="J12">
            <v>0</v>
          </cell>
          <cell r="K12">
            <v>0</v>
          </cell>
          <cell r="L12">
            <v>0</v>
          </cell>
          <cell r="M12">
            <v>0</v>
          </cell>
        </row>
        <row r="13">
          <cell r="B13" t="str">
            <v>Argus Research Corp</v>
          </cell>
          <cell r="C13" t="str">
            <v>JAMES KELLEHER</v>
          </cell>
          <cell r="D13" t="str">
            <v>buy</v>
          </cell>
          <cell r="E13">
            <v>42207</v>
          </cell>
          <cell r="F13">
            <v>145</v>
          </cell>
          <cell r="G13">
            <v>0</v>
          </cell>
          <cell r="H13">
            <v>0</v>
          </cell>
          <cell r="I13">
            <v>51300</v>
          </cell>
          <cell r="J13">
            <v>0</v>
          </cell>
          <cell r="K13">
            <v>1.81</v>
          </cell>
          <cell r="L13">
            <v>0</v>
          </cell>
          <cell r="M13">
            <v>0</v>
          </cell>
        </row>
        <row r="14">
          <cell r="B14" t="str">
            <v>Brean Capital LLC</v>
          </cell>
          <cell r="C14" t="str">
            <v>ANANDA BARUAH</v>
          </cell>
          <cell r="D14" t="str">
            <v>buy</v>
          </cell>
          <cell r="E14">
            <v>42207</v>
          </cell>
          <cell r="F14">
            <v>170</v>
          </cell>
          <cell r="G14">
            <v>14482</v>
          </cell>
          <cell r="H14">
            <v>10934</v>
          </cell>
          <cell r="I14">
            <v>51300</v>
          </cell>
          <cell r="J14">
            <v>0</v>
          </cell>
          <cell r="K14">
            <v>1.91</v>
          </cell>
          <cell r="L14">
            <v>0</v>
          </cell>
          <cell r="M14">
            <v>0</v>
          </cell>
        </row>
        <row r="15">
          <cell r="B15" t="str">
            <v>Credit Suisse</v>
          </cell>
          <cell r="C15" t="str">
            <v>KULBINDER GARCHA</v>
          </cell>
          <cell r="D15" t="str">
            <v>outperform</v>
          </cell>
          <cell r="E15">
            <v>42207</v>
          </cell>
          <cell r="F15">
            <v>145</v>
          </cell>
          <cell r="G15">
            <v>0</v>
          </cell>
          <cell r="H15">
            <v>0</v>
          </cell>
          <cell r="I15">
            <v>0</v>
          </cell>
          <cell r="J15">
            <v>0</v>
          </cell>
          <cell r="K15">
            <v>0</v>
          </cell>
          <cell r="L15">
            <v>0</v>
          </cell>
          <cell r="M15">
            <v>0</v>
          </cell>
        </row>
        <row r="16">
          <cell r="B16" t="str">
            <v>Hilliard Lyons</v>
          </cell>
          <cell r="C16" t="str">
            <v>STEPHEN TURNER</v>
          </cell>
          <cell r="D16" t="str">
            <v>long-term buy</v>
          </cell>
          <cell r="E16">
            <v>42207</v>
          </cell>
          <cell r="F16">
            <v>154</v>
          </cell>
          <cell r="G16">
            <v>14643</v>
          </cell>
          <cell r="H16">
            <v>10792</v>
          </cell>
          <cell r="I16">
            <v>51383</v>
          </cell>
          <cell r="J16">
            <v>0</v>
          </cell>
          <cell r="K16">
            <v>1.9</v>
          </cell>
          <cell r="L16">
            <v>0</v>
          </cell>
          <cell r="M16">
            <v>0</v>
          </cell>
        </row>
        <row r="17">
          <cell r="B17" t="str">
            <v>JPMorgan</v>
          </cell>
          <cell r="C17" t="str">
            <v>ROD HALL</v>
          </cell>
          <cell r="D17" t="str">
            <v>overweight</v>
          </cell>
          <cell r="E17">
            <v>42207</v>
          </cell>
          <cell r="F17">
            <v>145</v>
          </cell>
          <cell r="G17">
            <v>0</v>
          </cell>
          <cell r="H17">
            <v>0</v>
          </cell>
          <cell r="I17">
            <v>0</v>
          </cell>
          <cell r="J17">
            <v>0</v>
          </cell>
          <cell r="K17">
            <v>0</v>
          </cell>
          <cell r="L17">
            <v>0</v>
          </cell>
          <cell r="M17">
            <v>0</v>
          </cell>
        </row>
        <row r="18">
          <cell r="B18" t="str">
            <v>Jefferies</v>
          </cell>
          <cell r="C18" t="str">
            <v>SUNDEEP BAJIKAR</v>
          </cell>
          <cell r="D18" t="str">
            <v>hold</v>
          </cell>
          <cell r="E18">
            <v>42207</v>
          </cell>
          <cell r="F18">
            <v>135</v>
          </cell>
          <cell r="G18">
            <v>14046</v>
          </cell>
          <cell r="H18">
            <v>10352</v>
          </cell>
          <cell r="I18">
            <v>50185</v>
          </cell>
          <cell r="J18">
            <v>13816</v>
          </cell>
          <cell r="K18">
            <v>1.81</v>
          </cell>
          <cell r="L18">
            <v>0</v>
          </cell>
          <cell r="M18">
            <v>0</v>
          </cell>
        </row>
        <row r="19">
          <cell r="B19" t="str">
            <v>Robert W. Baird &amp; Co</v>
          </cell>
          <cell r="C19" t="str">
            <v>WILLIAM V POWER</v>
          </cell>
          <cell r="D19" t="str">
            <v>outperform</v>
          </cell>
          <cell r="E19">
            <v>42207</v>
          </cell>
          <cell r="F19">
            <v>155</v>
          </cell>
          <cell r="G19">
            <v>0</v>
          </cell>
          <cell r="H19">
            <v>0</v>
          </cell>
          <cell r="I19">
            <v>0</v>
          </cell>
          <cell r="J19">
            <v>0</v>
          </cell>
          <cell r="K19">
            <v>0</v>
          </cell>
          <cell r="L19">
            <v>0</v>
          </cell>
          <cell r="M19">
            <v>0</v>
          </cell>
        </row>
        <row r="20">
          <cell r="B20" t="str">
            <v>FBR Capital Markets</v>
          </cell>
          <cell r="C20" t="str">
            <v>DANIEL H IVES</v>
          </cell>
          <cell r="D20" t="str">
            <v>outperform</v>
          </cell>
          <cell r="E20">
            <v>42207</v>
          </cell>
          <cell r="F20">
            <v>175</v>
          </cell>
          <cell r="G20">
            <v>14400</v>
          </cell>
          <cell r="H20">
            <v>10400</v>
          </cell>
          <cell r="I20">
            <v>50900</v>
          </cell>
          <cell r="J20">
            <v>0</v>
          </cell>
          <cell r="K20">
            <v>1.89</v>
          </cell>
          <cell r="L20">
            <v>0</v>
          </cell>
          <cell r="M20">
            <v>0</v>
          </cell>
        </row>
        <row r="21">
          <cell r="B21" t="str">
            <v>Macquarie</v>
          </cell>
          <cell r="C21" t="str">
            <v>BENJAMIN A SCHACHTER</v>
          </cell>
          <cell r="D21" t="str">
            <v>outperform</v>
          </cell>
          <cell r="E21">
            <v>42207</v>
          </cell>
          <cell r="F21">
            <v>140</v>
          </cell>
          <cell r="G21">
            <v>0</v>
          </cell>
          <cell r="H21">
            <v>0</v>
          </cell>
          <cell r="I21">
            <v>0</v>
          </cell>
          <cell r="J21">
            <v>0</v>
          </cell>
          <cell r="K21">
            <v>0</v>
          </cell>
          <cell r="L21">
            <v>0</v>
          </cell>
          <cell r="M21">
            <v>0</v>
          </cell>
        </row>
        <row r="22">
          <cell r="B22" t="str">
            <v>Cantor Fitzgerald</v>
          </cell>
          <cell r="C22" t="str">
            <v>BRIAN J WHITE</v>
          </cell>
          <cell r="D22" t="str">
            <v>buy</v>
          </cell>
          <cell r="E22">
            <v>42207</v>
          </cell>
          <cell r="F22">
            <v>195</v>
          </cell>
          <cell r="G22">
            <v>0</v>
          </cell>
          <cell r="H22">
            <v>0</v>
          </cell>
          <cell r="I22">
            <v>0</v>
          </cell>
          <cell r="J22">
            <v>0</v>
          </cell>
          <cell r="K22">
            <v>0</v>
          </cell>
          <cell r="L22">
            <v>0</v>
          </cell>
          <cell r="M22">
            <v>0</v>
          </cell>
        </row>
        <row r="23">
          <cell r="B23" t="str">
            <v>Stifel</v>
          </cell>
          <cell r="C23" t="str">
            <v>AARON C RAKERS</v>
          </cell>
          <cell r="D23" t="str">
            <v>buy</v>
          </cell>
          <cell r="E23">
            <v>42207</v>
          </cell>
          <cell r="F23">
            <v>150</v>
          </cell>
          <cell r="G23">
            <v>14315</v>
          </cell>
          <cell r="H23">
            <v>10550</v>
          </cell>
          <cell r="I23">
            <v>50235</v>
          </cell>
          <cell r="J23">
            <v>13915</v>
          </cell>
          <cell r="K23">
            <v>1.85</v>
          </cell>
          <cell r="L23">
            <v>0</v>
          </cell>
          <cell r="M23">
            <v>0</v>
          </cell>
        </row>
        <row r="24">
          <cell r="B24" t="str">
            <v>Berenberg</v>
          </cell>
          <cell r="C24" t="str">
            <v>ADNAAN AHMAD</v>
          </cell>
          <cell r="D24" t="str">
            <v>sell</v>
          </cell>
          <cell r="E24">
            <v>42207</v>
          </cell>
          <cell r="F24">
            <v>85</v>
          </cell>
          <cell r="G24">
            <v>0</v>
          </cell>
          <cell r="H24">
            <v>0</v>
          </cell>
          <cell r="I24">
            <v>0</v>
          </cell>
          <cell r="J24">
            <v>0</v>
          </cell>
          <cell r="K24">
            <v>0</v>
          </cell>
          <cell r="L24">
            <v>0</v>
          </cell>
          <cell r="M24">
            <v>0</v>
          </cell>
        </row>
        <row r="25">
          <cell r="B25" t="str">
            <v>Oppenheimer &amp; Co</v>
          </cell>
          <cell r="C25" t="str">
            <v>ANDREW UERKWITZ</v>
          </cell>
          <cell r="D25" t="str">
            <v>outperform</v>
          </cell>
          <cell r="E25">
            <v>42207</v>
          </cell>
          <cell r="F25">
            <v>155</v>
          </cell>
          <cell r="G25">
            <v>14469</v>
          </cell>
          <cell r="H25">
            <v>11600</v>
          </cell>
          <cell r="I25">
            <v>51071</v>
          </cell>
          <cell r="J25">
            <v>0</v>
          </cell>
          <cell r="K25">
            <v>2.0299999999999998</v>
          </cell>
          <cell r="L25">
            <v>33.9</v>
          </cell>
          <cell r="M25">
            <v>0</v>
          </cell>
        </row>
        <row r="26">
          <cell r="B26" t="str">
            <v>Wells Fargo Securities</v>
          </cell>
          <cell r="C26" t="str">
            <v>MAYNARD UM</v>
          </cell>
          <cell r="D26" t="str">
            <v>market perform</v>
          </cell>
          <cell r="E26">
            <v>42207</v>
          </cell>
          <cell r="F26">
            <v>0</v>
          </cell>
          <cell r="G26">
            <v>0</v>
          </cell>
          <cell r="H26">
            <v>0</v>
          </cell>
          <cell r="I26">
            <v>0</v>
          </cell>
          <cell r="J26">
            <v>0</v>
          </cell>
          <cell r="K26">
            <v>0</v>
          </cell>
          <cell r="L26">
            <v>0</v>
          </cell>
          <cell r="M26">
            <v>0</v>
          </cell>
        </row>
        <row r="27">
          <cell r="B27" t="str">
            <v>Cowen and Company</v>
          </cell>
          <cell r="C27" t="str">
            <v>TIMOTHY M ARCURI</v>
          </cell>
          <cell r="D27" t="str">
            <v>market perform</v>
          </cell>
          <cell r="E27">
            <v>42207</v>
          </cell>
          <cell r="F27">
            <v>130</v>
          </cell>
          <cell r="G27">
            <v>0</v>
          </cell>
          <cell r="H27">
            <v>0</v>
          </cell>
          <cell r="I27">
            <v>0</v>
          </cell>
          <cell r="J27">
            <v>0</v>
          </cell>
          <cell r="K27">
            <v>0</v>
          </cell>
          <cell r="L27">
            <v>0</v>
          </cell>
          <cell r="M27">
            <v>0</v>
          </cell>
        </row>
        <row r="28">
          <cell r="B28" t="str">
            <v>JMP Securities</v>
          </cell>
          <cell r="C28" t="str">
            <v>ALEX GAUNA</v>
          </cell>
          <cell r="D28" t="str">
            <v>market outperform</v>
          </cell>
          <cell r="E28">
            <v>42207</v>
          </cell>
          <cell r="F28">
            <v>150</v>
          </cell>
          <cell r="G28">
            <v>0</v>
          </cell>
          <cell r="H28">
            <v>0</v>
          </cell>
          <cell r="I28">
            <v>0</v>
          </cell>
          <cell r="J28">
            <v>0</v>
          </cell>
          <cell r="K28">
            <v>0</v>
          </cell>
          <cell r="L28">
            <v>0</v>
          </cell>
          <cell r="M28">
            <v>0</v>
          </cell>
        </row>
        <row r="29">
          <cell r="B29" t="str">
            <v>Maxim Group LLC</v>
          </cell>
          <cell r="C29" t="str">
            <v>NEHAL CHOKSHI</v>
          </cell>
          <cell r="D29" t="str">
            <v>hold</v>
          </cell>
          <cell r="E29">
            <v>42207</v>
          </cell>
          <cell r="F29">
            <v>144</v>
          </cell>
          <cell r="G29">
            <v>13770</v>
          </cell>
          <cell r="H29">
            <v>10158</v>
          </cell>
          <cell r="I29">
            <v>50070</v>
          </cell>
          <cell r="J29">
            <v>13459</v>
          </cell>
          <cell r="K29">
            <v>1.77</v>
          </cell>
          <cell r="L29">
            <v>0</v>
          </cell>
          <cell r="M29">
            <v>-142758</v>
          </cell>
        </row>
        <row r="30">
          <cell r="B30" t="str">
            <v>Susquehanna Financial Group</v>
          </cell>
          <cell r="C30" t="str">
            <v>CHRISTOPHER CASO</v>
          </cell>
          <cell r="D30" t="str">
            <v>Positive</v>
          </cell>
          <cell r="E30">
            <v>42207</v>
          </cell>
          <cell r="F30">
            <v>155</v>
          </cell>
          <cell r="G30">
            <v>14056</v>
          </cell>
          <cell r="H30">
            <v>10366</v>
          </cell>
          <cell r="I30">
            <v>50087</v>
          </cell>
          <cell r="J30">
            <v>0</v>
          </cell>
          <cell r="K30">
            <v>1.8</v>
          </cell>
          <cell r="L30">
            <v>0</v>
          </cell>
          <cell r="M30">
            <v>0</v>
          </cell>
        </row>
        <row r="31">
          <cell r="B31" t="str">
            <v>Atlantic Equities LLP</v>
          </cell>
          <cell r="C31" t="str">
            <v>JAMES CORDWELL</v>
          </cell>
          <cell r="D31" t="str">
            <v>overweight</v>
          </cell>
          <cell r="E31">
            <v>42207</v>
          </cell>
          <cell r="F31">
            <v>150</v>
          </cell>
          <cell r="G31">
            <v>14523</v>
          </cell>
          <cell r="H31">
            <v>10704</v>
          </cell>
          <cell r="I31">
            <v>51212</v>
          </cell>
          <cell r="J31">
            <v>0</v>
          </cell>
          <cell r="K31">
            <v>1.87</v>
          </cell>
          <cell r="L31">
            <v>0</v>
          </cell>
          <cell r="M31">
            <v>0</v>
          </cell>
        </row>
        <row r="32">
          <cell r="B32" t="str">
            <v>Cross Research</v>
          </cell>
          <cell r="C32" t="str">
            <v>SHANNON S CROSS</v>
          </cell>
          <cell r="D32" t="str">
            <v>buy</v>
          </cell>
          <cell r="E32">
            <v>42207</v>
          </cell>
          <cell r="F32">
            <v>150</v>
          </cell>
          <cell r="G32">
            <v>14485</v>
          </cell>
          <cell r="H32">
            <v>10647</v>
          </cell>
          <cell r="I32">
            <v>50514</v>
          </cell>
          <cell r="J32">
            <v>0</v>
          </cell>
          <cell r="K32">
            <v>1.86</v>
          </cell>
          <cell r="L32">
            <v>0</v>
          </cell>
          <cell r="M32">
            <v>0</v>
          </cell>
        </row>
        <row r="33">
          <cell r="B33" t="str">
            <v>Piper Jaffray</v>
          </cell>
          <cell r="C33" t="str">
            <v>EUGENE E MUNSTER</v>
          </cell>
          <cell r="D33" t="str">
            <v>overweight</v>
          </cell>
          <cell r="E33">
            <v>42207</v>
          </cell>
          <cell r="F33">
            <v>172</v>
          </cell>
          <cell r="G33">
            <v>0</v>
          </cell>
          <cell r="H33">
            <v>0</v>
          </cell>
          <cell r="I33">
            <v>0</v>
          </cell>
          <cell r="J33">
            <v>0</v>
          </cell>
          <cell r="K33">
            <v>0</v>
          </cell>
          <cell r="L33">
            <v>0</v>
          </cell>
          <cell r="M33">
            <v>0</v>
          </cell>
        </row>
        <row r="34">
          <cell r="B34" t="str">
            <v>FBN Securities</v>
          </cell>
          <cell r="C34" t="str">
            <v>SHEBLY SEYRAFI</v>
          </cell>
          <cell r="D34" t="str">
            <v>outperform</v>
          </cell>
          <cell r="E34">
            <v>42207</v>
          </cell>
          <cell r="F34">
            <v>150</v>
          </cell>
          <cell r="G34">
            <v>14745</v>
          </cell>
          <cell r="H34">
            <v>10867</v>
          </cell>
          <cell r="I34">
            <v>51554</v>
          </cell>
          <cell r="J34">
            <v>0</v>
          </cell>
          <cell r="K34">
            <v>1.9</v>
          </cell>
          <cell r="L34">
            <v>29.2</v>
          </cell>
          <cell r="M34">
            <v>-160538</v>
          </cell>
        </row>
        <row r="35">
          <cell r="B35" t="str">
            <v>Pacific Crest Securities</v>
          </cell>
          <cell r="C35" t="str">
            <v>ANDY HARGREAVES</v>
          </cell>
          <cell r="D35" t="str">
            <v>sector weight</v>
          </cell>
          <cell r="E35">
            <v>42206</v>
          </cell>
          <cell r="F35">
            <v>0</v>
          </cell>
          <cell r="G35">
            <v>0</v>
          </cell>
          <cell r="H35">
            <v>0</v>
          </cell>
          <cell r="I35">
            <v>0</v>
          </cell>
          <cell r="J35">
            <v>0</v>
          </cell>
          <cell r="K35">
            <v>0</v>
          </cell>
          <cell r="L35">
            <v>0</v>
          </cell>
          <cell r="M35">
            <v>0</v>
          </cell>
        </row>
        <row r="36">
          <cell r="B36" t="str">
            <v>William Blair &amp; Co</v>
          </cell>
          <cell r="C36" t="str">
            <v>ANIL K DORADLA</v>
          </cell>
          <cell r="D36" t="str">
            <v>outperform</v>
          </cell>
          <cell r="E36">
            <v>42206</v>
          </cell>
          <cell r="F36">
            <v>0</v>
          </cell>
          <cell r="G36">
            <v>14190</v>
          </cell>
          <cell r="H36">
            <v>10458</v>
          </cell>
          <cell r="I36">
            <v>50511</v>
          </cell>
          <cell r="J36">
            <v>0</v>
          </cell>
          <cell r="K36">
            <v>1.82</v>
          </cell>
          <cell r="L36">
            <v>0</v>
          </cell>
          <cell r="M36">
            <v>0</v>
          </cell>
        </row>
        <row r="37">
          <cell r="B37" t="str">
            <v>Canaccord Genuity Corp</v>
          </cell>
          <cell r="C37" t="str">
            <v>T MICHAEL WALKLEY</v>
          </cell>
          <cell r="D37" t="str">
            <v>buy</v>
          </cell>
          <cell r="E37">
            <v>42206</v>
          </cell>
          <cell r="F37">
            <v>155</v>
          </cell>
          <cell r="G37">
            <v>0</v>
          </cell>
          <cell r="H37">
            <v>0</v>
          </cell>
          <cell r="I37">
            <v>0</v>
          </cell>
          <cell r="J37">
            <v>0</v>
          </cell>
          <cell r="K37">
            <v>0</v>
          </cell>
          <cell r="L37">
            <v>0</v>
          </cell>
          <cell r="M37">
            <v>0</v>
          </cell>
        </row>
        <row r="38">
          <cell r="B38" t="str">
            <v>BGC Partners</v>
          </cell>
          <cell r="C38" t="str">
            <v>COLIN W GILLIS</v>
          </cell>
          <cell r="D38" t="str">
            <v>hold</v>
          </cell>
          <cell r="E38">
            <v>42206</v>
          </cell>
          <cell r="F38">
            <v>115</v>
          </cell>
          <cell r="G38">
            <v>14341</v>
          </cell>
          <cell r="H38">
            <v>10584</v>
          </cell>
          <cell r="I38">
            <v>51811</v>
          </cell>
          <cell r="J38">
            <v>0</v>
          </cell>
          <cell r="K38">
            <v>1.84</v>
          </cell>
          <cell r="L38">
            <v>0</v>
          </cell>
          <cell r="M38">
            <v>0</v>
          </cell>
        </row>
        <row r="39">
          <cell r="B39" t="str">
            <v>BTIG LLC</v>
          </cell>
          <cell r="C39" t="str">
            <v>WALTER P PIECYK JR</v>
          </cell>
          <cell r="D39" t="str">
            <v>buy</v>
          </cell>
          <cell r="E39">
            <v>42206</v>
          </cell>
          <cell r="F39">
            <v>160</v>
          </cell>
          <cell r="G39">
            <v>14761</v>
          </cell>
          <cell r="H39">
            <v>10879</v>
          </cell>
          <cell r="I39">
            <v>51168</v>
          </cell>
          <cell r="J39">
            <v>0</v>
          </cell>
          <cell r="K39">
            <v>1.92</v>
          </cell>
          <cell r="L39">
            <v>0</v>
          </cell>
          <cell r="M39">
            <v>-145107</v>
          </cell>
        </row>
        <row r="40">
          <cell r="B40" t="str">
            <v>Edward Jones</v>
          </cell>
          <cell r="C40" t="str">
            <v>WILLIAM C KREHER</v>
          </cell>
          <cell r="D40" t="str">
            <v>hold</v>
          </cell>
          <cell r="E40">
            <v>42179</v>
          </cell>
          <cell r="F40">
            <v>0</v>
          </cell>
          <cell r="G40">
            <v>0</v>
          </cell>
          <cell r="H40">
            <v>0</v>
          </cell>
          <cell r="I40">
            <v>0</v>
          </cell>
          <cell r="J40">
            <v>0</v>
          </cell>
          <cell r="K40">
            <v>0</v>
          </cell>
          <cell r="L40">
            <v>0</v>
          </cell>
          <cell r="M40">
            <v>0</v>
          </cell>
        </row>
        <row r="41">
          <cell r="B41" t="str">
            <v>EVA Dimensions</v>
          </cell>
          <cell r="C41" t="str">
            <v>AUSTIN BURKETT</v>
          </cell>
          <cell r="D41" t="str">
            <v>hold</v>
          </cell>
          <cell r="E41">
            <v>42160</v>
          </cell>
          <cell r="F41">
            <v>0</v>
          </cell>
          <cell r="G41">
            <v>0</v>
          </cell>
          <cell r="H41">
            <v>0</v>
          </cell>
          <cell r="I41">
            <v>0</v>
          </cell>
          <cell r="J41">
            <v>0</v>
          </cell>
          <cell r="K41">
            <v>0</v>
          </cell>
          <cell r="L41">
            <v>0</v>
          </cell>
          <cell r="M41">
            <v>0</v>
          </cell>
        </row>
        <row r="42">
          <cell r="B42" t="str">
            <v>Ameriprise Advisor Services, Inc</v>
          </cell>
          <cell r="C42" t="str">
            <v>JUSTIN H BURGIN</v>
          </cell>
          <cell r="D42" t="str">
            <v>buy</v>
          </cell>
          <cell r="E42">
            <v>42131</v>
          </cell>
          <cell r="F42">
            <v>0</v>
          </cell>
          <cell r="G42">
            <v>0</v>
          </cell>
          <cell r="H42">
            <v>0</v>
          </cell>
          <cell r="I42">
            <v>0</v>
          </cell>
          <cell r="J42">
            <v>0</v>
          </cell>
          <cell r="K42">
            <v>0</v>
          </cell>
          <cell r="L42">
            <v>0</v>
          </cell>
          <cell r="M42">
            <v>0</v>
          </cell>
        </row>
        <row r="43">
          <cell r="B43" t="str">
            <v>Daiwa Securities Co. Ltd.</v>
          </cell>
          <cell r="C43" t="str">
            <v>YOKO YAMADA</v>
          </cell>
          <cell r="D43" t="str">
            <v>outperform</v>
          </cell>
          <cell r="E43">
            <v>42125</v>
          </cell>
          <cell r="F43">
            <v>137</v>
          </cell>
          <cell r="G43">
            <v>0</v>
          </cell>
          <cell r="H43">
            <v>0</v>
          </cell>
          <cell r="I43">
            <v>0</v>
          </cell>
          <cell r="J43">
            <v>0</v>
          </cell>
          <cell r="K43">
            <v>0</v>
          </cell>
          <cell r="L43">
            <v>0</v>
          </cell>
          <cell r="M43">
            <v>0</v>
          </cell>
        </row>
        <row r="44">
          <cell r="B44" t="str">
            <v>First Shanghai Securities Ltd</v>
          </cell>
          <cell r="C44" t="str">
            <v>TSOI HO</v>
          </cell>
          <cell r="D44" t="str">
            <v>buy</v>
          </cell>
          <cell r="E44">
            <v>42124</v>
          </cell>
          <cell r="F44">
            <v>165</v>
          </cell>
          <cell r="G44">
            <v>0</v>
          </cell>
          <cell r="H44">
            <v>0</v>
          </cell>
          <cell r="I44">
            <v>0</v>
          </cell>
          <cell r="J44">
            <v>0</v>
          </cell>
          <cell r="K44">
            <v>0</v>
          </cell>
          <cell r="L44">
            <v>0</v>
          </cell>
          <cell r="M44">
            <v>0</v>
          </cell>
        </row>
        <row r="45">
          <cell r="B45" t="str">
            <v>Goldman Sachs</v>
          </cell>
          <cell r="C45" t="str">
            <v>BILL SHOPE</v>
          </cell>
          <cell r="D45" t="str">
            <v>Buy/Cautious</v>
          </cell>
          <cell r="E45">
            <v>42122</v>
          </cell>
          <cell r="F45">
            <v>163</v>
          </cell>
          <cell r="G45">
            <v>0</v>
          </cell>
          <cell r="H45">
            <v>0</v>
          </cell>
          <cell r="I45">
            <v>0</v>
          </cell>
          <cell r="J45">
            <v>0</v>
          </cell>
          <cell r="K45">
            <v>0</v>
          </cell>
          <cell r="L45">
            <v>0</v>
          </cell>
          <cell r="M45">
            <v>0</v>
          </cell>
        </row>
        <row r="46">
          <cell r="B46" t="str">
            <v>Hamburger Sparkasse</v>
          </cell>
          <cell r="C46" t="str">
            <v>MARCO GUENTHER</v>
          </cell>
          <cell r="D46" t="str">
            <v>neutral</v>
          </cell>
          <cell r="E46">
            <v>42122</v>
          </cell>
          <cell r="F46">
            <v>0</v>
          </cell>
          <cell r="G46">
            <v>0</v>
          </cell>
          <cell r="H46">
            <v>0</v>
          </cell>
          <cell r="I46">
            <v>0</v>
          </cell>
          <cell r="J46">
            <v>0</v>
          </cell>
          <cell r="K46">
            <v>0</v>
          </cell>
          <cell r="L46">
            <v>0</v>
          </cell>
          <cell r="M46">
            <v>0</v>
          </cell>
        </row>
        <row r="47">
          <cell r="B47" t="str">
            <v>UBS</v>
          </cell>
          <cell r="C47" t="str">
            <v>STEVEN M MILUNOVICH</v>
          </cell>
          <cell r="D47" t="str">
            <v>buy</v>
          </cell>
          <cell r="E47">
            <v>42048</v>
          </cell>
          <cell r="F47">
            <v>150</v>
          </cell>
          <cell r="G47">
            <v>0</v>
          </cell>
          <cell r="H47">
            <v>0</v>
          </cell>
          <cell r="I47">
            <v>0</v>
          </cell>
          <cell r="J47">
            <v>0</v>
          </cell>
          <cell r="K47">
            <v>0</v>
          </cell>
          <cell r="L47">
            <v>0</v>
          </cell>
          <cell r="M47">
            <v>0</v>
          </cell>
        </row>
        <row r="48">
          <cell r="B48" t="str">
            <v>Accountability Research Corp</v>
          </cell>
          <cell r="C48" t="str">
            <v>KEVIN CHU</v>
          </cell>
          <cell r="D48" t="str">
            <v>buy</v>
          </cell>
          <cell r="E48">
            <v>42040</v>
          </cell>
          <cell r="F48">
            <v>139</v>
          </cell>
          <cell r="G48">
            <v>0</v>
          </cell>
          <cell r="H48">
            <v>0</v>
          </cell>
          <cell r="I48">
            <v>0</v>
          </cell>
          <cell r="J48">
            <v>0</v>
          </cell>
          <cell r="K48">
            <v>0</v>
          </cell>
          <cell r="L48">
            <v>0</v>
          </cell>
          <cell r="M48">
            <v>0</v>
          </cell>
        </row>
        <row r="49">
          <cell r="B49" t="str">
            <v>Scotia Capital</v>
          </cell>
          <cell r="C49" t="str">
            <v>DANIEL CHAN</v>
          </cell>
          <cell r="D49" t="str">
            <v>suspended coverage</v>
          </cell>
          <cell r="E49">
            <v>41913</v>
          </cell>
          <cell r="F49">
            <v>0</v>
          </cell>
          <cell r="G49">
            <v>0</v>
          </cell>
          <cell r="H49">
            <v>0</v>
          </cell>
          <cell r="I49">
            <v>0</v>
          </cell>
          <cell r="J49">
            <v>0</v>
          </cell>
          <cell r="K49">
            <v>1.57</v>
          </cell>
          <cell r="L49">
            <v>0</v>
          </cell>
          <cell r="M49">
            <v>0</v>
          </cell>
        </row>
        <row r="50">
          <cell r="B50" t="str">
            <v>Erste Group</v>
          </cell>
          <cell r="C50" t="str">
            <v>HANS ENGEL</v>
          </cell>
          <cell r="D50" t="str">
            <v>buy</v>
          </cell>
          <cell r="E50">
            <v>41842</v>
          </cell>
          <cell r="F50">
            <v>0</v>
          </cell>
          <cell r="G50">
            <v>0</v>
          </cell>
          <cell r="H50">
            <v>0</v>
          </cell>
          <cell r="I50">
            <v>0</v>
          </cell>
          <cell r="J50">
            <v>0</v>
          </cell>
          <cell r="K50">
            <v>0</v>
          </cell>
          <cell r="L50">
            <v>0</v>
          </cell>
          <cell r="M50">
            <v>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92"/>
  <sheetViews>
    <sheetView showGridLines="0" tabSelected="1" zoomScale="80" zoomScaleNormal="80" zoomScalePageLayoutView="80" workbookViewId="0">
      <pane xSplit="3" ySplit="10" topLeftCell="D11" activePane="bottomRight" state="frozen"/>
      <selection pane="topRight" activeCell="D1" sqref="D1"/>
      <selection pane="bottomLeft" activeCell="A11" sqref="A11"/>
      <selection pane="bottomRight" activeCell="B2" sqref="B2:C2"/>
    </sheetView>
  </sheetViews>
  <sheetFormatPr defaultColWidth="8.77734375" defaultRowHeight="14.4" outlineLevelRow="1" outlineLevelCol="1" x14ac:dyDescent="0.3"/>
  <cols>
    <col min="1" max="1" width="1.77734375" customWidth="1"/>
    <col min="2" max="2" width="31.6640625" customWidth="1"/>
    <col min="3" max="3" width="26.109375" style="12" customWidth="1"/>
    <col min="4" max="4" width="11.33203125" style="1" hidden="1" customWidth="1" outlineLevel="1"/>
    <col min="5" max="7" width="11.44140625" style="1" hidden="1" customWidth="1" outlineLevel="1"/>
    <col min="8" max="8" width="11.44140625" style="1" customWidth="1" collapsed="1"/>
    <col min="9" max="10" width="11.44140625" style="1" hidden="1" customWidth="1" outlineLevel="1"/>
    <col min="11" max="12" width="11.44140625" style="3" hidden="1" customWidth="1" outlineLevel="1"/>
    <col min="13" max="13" width="11.44140625" style="3" customWidth="1" collapsed="1"/>
    <col min="14" max="15" width="11.44140625" style="1" customWidth="1" outlineLevel="1"/>
    <col min="16" max="17" width="11.44140625" style="3" customWidth="1" outlineLevel="1"/>
    <col min="18" max="18" width="11.44140625" style="3" customWidth="1"/>
    <col min="19" max="20" width="11.44140625" style="1" customWidth="1" outlineLevel="1"/>
    <col min="21" max="22" width="11.44140625" style="3" customWidth="1" outlineLevel="1"/>
    <col min="23" max="23" width="12" style="3" bestFit="1" customWidth="1"/>
    <col min="24" max="24" width="4.33203125" customWidth="1"/>
    <col min="25" max="25" width="16.109375" customWidth="1"/>
  </cols>
  <sheetData>
    <row r="1" spans="1:30" s="50" customFormat="1" x14ac:dyDescent="0.3">
      <c r="A1" s="94"/>
      <c r="C1" s="51"/>
      <c r="D1" s="1"/>
      <c r="E1" s="1"/>
      <c r="F1" s="1"/>
      <c r="G1" s="1"/>
      <c r="H1" s="1"/>
      <c r="I1" s="1"/>
      <c r="J1" s="1"/>
      <c r="K1" s="3"/>
      <c r="L1" s="3"/>
      <c r="M1" s="3"/>
      <c r="N1" s="1"/>
      <c r="O1" s="1"/>
      <c r="P1" s="3"/>
      <c r="Q1" s="3"/>
      <c r="R1" s="3"/>
      <c r="S1" s="1"/>
      <c r="T1" s="1"/>
      <c r="U1" s="3"/>
      <c r="V1" s="3"/>
      <c r="W1" s="3"/>
      <c r="AD1" s="94" t="s">
        <v>48</v>
      </c>
    </row>
    <row r="2" spans="1:30" ht="46.2" customHeight="1" x14ac:dyDescent="0.3">
      <c r="B2" s="175" t="s">
        <v>47</v>
      </c>
      <c r="C2" s="176"/>
    </row>
    <row r="3" spans="1:30" x14ac:dyDescent="0.3">
      <c r="B3" s="177" t="s">
        <v>32</v>
      </c>
      <c r="C3" s="178"/>
      <c r="I3" s="13"/>
    </row>
    <row r="4" spans="1:30" x14ac:dyDescent="0.3">
      <c r="B4" s="179" t="s">
        <v>190</v>
      </c>
      <c r="C4" s="180"/>
      <c r="D4" s="9"/>
      <c r="I4" s="13"/>
    </row>
    <row r="5" spans="1:30" x14ac:dyDescent="0.3">
      <c r="B5" s="181" t="s">
        <v>191</v>
      </c>
      <c r="C5" s="182"/>
      <c r="D5" s="9"/>
      <c r="G5" s="79"/>
      <c r="I5" s="13"/>
      <c r="J5" s="13"/>
      <c r="K5" s="13"/>
      <c r="L5" s="79"/>
      <c r="N5" s="278"/>
      <c r="O5" s="18"/>
      <c r="P5" s="18"/>
      <c r="Q5" s="18"/>
      <c r="R5" s="18"/>
      <c r="S5" s="18"/>
      <c r="T5" s="18"/>
      <c r="U5" s="18"/>
      <c r="V5" s="18"/>
      <c r="W5" s="18"/>
    </row>
    <row r="6" spans="1:30" x14ac:dyDescent="0.3">
      <c r="B6" s="87" t="s">
        <v>13</v>
      </c>
      <c r="C6" s="88">
        <f>C165</f>
        <v>130.00177399669619</v>
      </c>
      <c r="I6" s="13"/>
      <c r="J6" s="13"/>
      <c r="K6" s="13"/>
      <c r="L6" s="13"/>
      <c r="N6" s="13"/>
      <c r="O6" s="13"/>
      <c r="P6" s="13"/>
      <c r="Q6" s="13" t="s">
        <v>188</v>
      </c>
      <c r="R6" s="310">
        <f>R11/M11-1</f>
        <v>6.5598818213987942E-2</v>
      </c>
      <c r="S6" s="13"/>
      <c r="T6" s="13"/>
      <c r="U6" s="13"/>
      <c r="V6" s="13"/>
      <c r="W6" s="13"/>
    </row>
    <row r="7" spans="1:30" s="50" customFormat="1" x14ac:dyDescent="0.3">
      <c r="B7" s="58" t="s">
        <v>40</v>
      </c>
      <c r="C7" s="80" t="str">
        <f>TEXT(C174,"$0")&amp;" to "&amp;TEXT(C173,"$0")</f>
        <v>$122 to $138</v>
      </c>
      <c r="D7" s="1"/>
      <c r="E7" s="1"/>
      <c r="F7" s="1"/>
      <c r="G7" s="1"/>
      <c r="H7" s="1"/>
      <c r="I7" s="13"/>
      <c r="J7" s="13"/>
      <c r="K7" s="13"/>
      <c r="L7" s="13"/>
      <c r="M7" s="3"/>
      <c r="N7" s="13"/>
      <c r="O7" s="13"/>
      <c r="P7" s="13"/>
      <c r="Q7" s="13" t="s">
        <v>189</v>
      </c>
      <c r="R7" s="311">
        <f>R27/M27-1</f>
        <v>0.15617805880698521</v>
      </c>
      <c r="S7" s="13"/>
      <c r="T7" s="13"/>
      <c r="U7" s="13"/>
      <c r="V7" s="13"/>
      <c r="W7" s="13"/>
    </row>
    <row r="8" spans="1:30" ht="4.5" customHeight="1" x14ac:dyDescent="0.3">
      <c r="C8" s="20"/>
      <c r="D8" s="9"/>
      <c r="E8" s="9"/>
      <c r="F8" s="9"/>
      <c r="G8" s="9"/>
      <c r="H8" s="9"/>
      <c r="I8" s="9"/>
      <c r="J8" s="9"/>
      <c r="K8" s="9"/>
      <c r="L8" s="16"/>
      <c r="M8" s="17"/>
      <c r="N8" s="16"/>
      <c r="O8" s="16"/>
      <c r="P8" s="16"/>
      <c r="Q8" s="18"/>
      <c r="R8" s="18"/>
      <c r="S8" s="16"/>
      <c r="T8" s="16"/>
      <c r="U8" s="16"/>
      <c r="V8" s="18"/>
      <c r="W8" s="18"/>
    </row>
    <row r="9" spans="1:30" ht="15.6" x14ac:dyDescent="0.3">
      <c r="B9" s="183" t="s">
        <v>148</v>
      </c>
      <c r="C9" s="184"/>
      <c r="D9" s="53" t="s">
        <v>101</v>
      </c>
      <c r="E9" s="53" t="s">
        <v>102</v>
      </c>
      <c r="F9" s="53" t="s">
        <v>103</v>
      </c>
      <c r="G9" s="53" t="s">
        <v>161</v>
      </c>
      <c r="H9" s="53" t="s">
        <v>161</v>
      </c>
      <c r="I9" s="53" t="s">
        <v>183</v>
      </c>
      <c r="J9" s="53" t="s">
        <v>184</v>
      </c>
      <c r="K9" s="53" t="s">
        <v>185</v>
      </c>
      <c r="L9" s="53" t="s">
        <v>166</v>
      </c>
      <c r="M9" s="53" t="s">
        <v>166</v>
      </c>
      <c r="N9" s="53" t="s">
        <v>136</v>
      </c>
      <c r="O9" s="55" t="s">
        <v>137</v>
      </c>
      <c r="P9" s="55" t="s">
        <v>138</v>
      </c>
      <c r="Q9" s="55" t="s">
        <v>171</v>
      </c>
      <c r="R9" s="55" t="s">
        <v>171</v>
      </c>
      <c r="S9" s="55" t="s">
        <v>139</v>
      </c>
      <c r="T9" s="55" t="s">
        <v>140</v>
      </c>
      <c r="U9" s="55" t="s">
        <v>141</v>
      </c>
      <c r="V9" s="55" t="s">
        <v>177</v>
      </c>
      <c r="W9" s="60" t="s">
        <v>177</v>
      </c>
    </row>
    <row r="10" spans="1:30" ht="16.2" x14ac:dyDescent="0.45">
      <c r="B10" s="169" t="s">
        <v>0</v>
      </c>
      <c r="C10" s="170"/>
      <c r="D10" s="45" t="s">
        <v>165</v>
      </c>
      <c r="E10" s="45" t="s">
        <v>164</v>
      </c>
      <c r="F10" s="45" t="s">
        <v>163</v>
      </c>
      <c r="G10" s="45" t="s">
        <v>162</v>
      </c>
      <c r="H10" s="54" t="s">
        <v>11</v>
      </c>
      <c r="I10" s="54" t="s">
        <v>167</v>
      </c>
      <c r="J10" s="54" t="s">
        <v>168</v>
      </c>
      <c r="K10" s="54" t="s">
        <v>169</v>
      </c>
      <c r="L10" s="54" t="s">
        <v>170</v>
      </c>
      <c r="M10" s="54" t="s">
        <v>39</v>
      </c>
      <c r="N10" s="54" t="s">
        <v>172</v>
      </c>
      <c r="O10" s="56" t="s">
        <v>173</v>
      </c>
      <c r="P10" s="56" t="s">
        <v>174</v>
      </c>
      <c r="Q10" s="56" t="s">
        <v>175</v>
      </c>
      <c r="R10" s="56" t="s">
        <v>176</v>
      </c>
      <c r="S10" s="56" t="s">
        <v>178</v>
      </c>
      <c r="T10" s="56" t="s">
        <v>179</v>
      </c>
      <c r="U10" s="56" t="s">
        <v>180</v>
      </c>
      <c r="V10" s="56" t="s">
        <v>181</v>
      </c>
      <c r="W10" s="61" t="s">
        <v>182</v>
      </c>
    </row>
    <row r="11" spans="1:30" s="51" customFormat="1" x14ac:dyDescent="0.3">
      <c r="B11" s="157" t="s">
        <v>33</v>
      </c>
      <c r="C11" s="158"/>
      <c r="D11" s="197">
        <v>19687</v>
      </c>
      <c r="E11" s="198">
        <v>23811</v>
      </c>
      <c r="F11" s="198">
        <v>20516</v>
      </c>
      <c r="G11" s="198">
        <v>19162</v>
      </c>
      <c r="H11" s="199">
        <f>SUM(D11:G11)</f>
        <v>83176</v>
      </c>
      <c r="I11" s="197">
        <v>20891</v>
      </c>
      <c r="J11" s="200">
        <v>24829</v>
      </c>
      <c r="K11" s="200">
        <v>21819</v>
      </c>
      <c r="L11" s="200">
        <v>20980</v>
      </c>
      <c r="M11" s="199">
        <f>SUM(I11:L11)</f>
        <v>88519</v>
      </c>
      <c r="N11" s="200">
        <v>22762</v>
      </c>
      <c r="O11" s="305">
        <f>O33*O35+O37</f>
        <v>26473.741789484</v>
      </c>
      <c r="P11" s="305">
        <f t="shared" ref="P11:Q11" si="0">P33*P35+P37</f>
        <v>23090</v>
      </c>
      <c r="Q11" s="305">
        <f t="shared" si="0"/>
        <v>21999.999999999996</v>
      </c>
      <c r="R11" s="307">
        <f>SUM(N11:Q11)</f>
        <v>94325.741789484004</v>
      </c>
      <c r="S11" s="305">
        <f t="shared" ref="S11:V11" si="1">S33*S35+S37</f>
        <v>23699.999999999996</v>
      </c>
      <c r="T11" s="200">
        <f t="shared" si="1"/>
        <v>26984.929919999999</v>
      </c>
      <c r="U11" s="200">
        <f t="shared" si="1"/>
        <v>23951.990874079998</v>
      </c>
      <c r="V11" s="200">
        <f t="shared" si="1"/>
        <v>23700.88757081475</v>
      </c>
      <c r="W11" s="199">
        <f>SUM(S11:V11)</f>
        <v>98337.80836489475</v>
      </c>
    </row>
    <row r="12" spans="1:30" s="44" customFormat="1" ht="17.25" customHeight="1" x14ac:dyDescent="0.45">
      <c r="B12" s="157" t="s">
        <v>21</v>
      </c>
      <c r="C12" s="158"/>
      <c r="D12" s="201">
        <v>12802</v>
      </c>
      <c r="E12" s="202">
        <v>15650</v>
      </c>
      <c r="F12" s="202">
        <v>13331</v>
      </c>
      <c r="G12" s="202">
        <v>12439</v>
      </c>
      <c r="H12" s="203">
        <f>SUM(D12:G12)</f>
        <v>54222</v>
      </c>
      <c r="I12" s="201">
        <v>13712</v>
      </c>
      <c r="J12" s="204">
        <v>16464</v>
      </c>
      <c r="K12" s="204">
        <v>14254</v>
      </c>
      <c r="L12" s="204">
        <v>13824</v>
      </c>
      <c r="M12" s="203">
        <f>SUM(I12:L12)</f>
        <v>58254</v>
      </c>
      <c r="N12" s="204">
        <v>14971</v>
      </c>
      <c r="O12" s="204">
        <f>O11*(1-O46)</f>
        <v>17340.30087211202</v>
      </c>
      <c r="P12" s="204">
        <f>P11*(1-P46)</f>
        <v>15077.77</v>
      </c>
      <c r="Q12" s="204">
        <f>Q11*(1-Q46)</f>
        <v>14475.999999999996</v>
      </c>
      <c r="R12" s="203">
        <f>SUM(N12:Q12)</f>
        <v>61865.070872112017</v>
      </c>
      <c r="S12" s="204">
        <f>S11*(1-S46)</f>
        <v>15547.199999999999</v>
      </c>
      <c r="T12" s="204">
        <f>T11*(1-T46)</f>
        <v>17756.083887359997</v>
      </c>
      <c r="U12" s="204">
        <f>U11*(1-U46)</f>
        <v>15760.409995144637</v>
      </c>
      <c r="V12" s="204">
        <f>V11*(1-V46)</f>
        <v>15595.184021596104</v>
      </c>
      <c r="W12" s="203">
        <f>SUM(S12:V12)</f>
        <v>64658.877904100744</v>
      </c>
    </row>
    <row r="13" spans="1:30" x14ac:dyDescent="0.3">
      <c r="B13" s="159" t="s">
        <v>36</v>
      </c>
      <c r="C13" s="160"/>
      <c r="D13" s="205">
        <f t="shared" ref="D13:R13" si="2">D11-D12</f>
        <v>6885</v>
      </c>
      <c r="E13" s="206">
        <f t="shared" si="2"/>
        <v>8161</v>
      </c>
      <c r="F13" s="206">
        <f t="shared" si="2"/>
        <v>7185</v>
      </c>
      <c r="G13" s="206">
        <f t="shared" si="2"/>
        <v>6723</v>
      </c>
      <c r="H13" s="207">
        <f t="shared" si="2"/>
        <v>28954</v>
      </c>
      <c r="I13" s="205">
        <f>I11-I12</f>
        <v>7179</v>
      </c>
      <c r="J13" s="208">
        <f>J11-J12</f>
        <v>8365</v>
      </c>
      <c r="K13" s="208">
        <f>K11-K12</f>
        <v>7565</v>
      </c>
      <c r="L13" s="208">
        <f t="shared" si="2"/>
        <v>7156</v>
      </c>
      <c r="M13" s="207">
        <f t="shared" si="2"/>
        <v>30265</v>
      </c>
      <c r="N13" s="208">
        <f t="shared" si="2"/>
        <v>7791</v>
      </c>
      <c r="O13" s="208">
        <f t="shared" si="2"/>
        <v>9133.4409173719796</v>
      </c>
      <c r="P13" s="208">
        <f t="shared" si="2"/>
        <v>8012.23</v>
      </c>
      <c r="Q13" s="208">
        <f t="shared" si="2"/>
        <v>7524</v>
      </c>
      <c r="R13" s="207">
        <f t="shared" si="2"/>
        <v>32460.670917371986</v>
      </c>
      <c r="S13" s="208">
        <f t="shared" ref="S13:W13" si="3">S11-S12</f>
        <v>8152.7999999999975</v>
      </c>
      <c r="T13" s="208">
        <f t="shared" si="3"/>
        <v>9228.8460326400018</v>
      </c>
      <c r="U13" s="208">
        <f t="shared" si="3"/>
        <v>8191.5808789353614</v>
      </c>
      <c r="V13" s="208">
        <f t="shared" si="3"/>
        <v>8105.703549218646</v>
      </c>
      <c r="W13" s="207">
        <f t="shared" si="3"/>
        <v>33678.930460794007</v>
      </c>
    </row>
    <row r="14" spans="1:30" s="50" customFormat="1" x14ac:dyDescent="0.3">
      <c r="B14" s="62" t="s">
        <v>105</v>
      </c>
      <c r="C14" s="63"/>
      <c r="D14" s="197">
        <v>414</v>
      </c>
      <c r="E14" s="198">
        <v>415</v>
      </c>
      <c r="F14" s="198">
        <v>415</v>
      </c>
      <c r="G14" s="198">
        <v>407</v>
      </c>
      <c r="H14" s="199">
        <f t="shared" ref="H14" si="4">SUM(D14:G14)</f>
        <v>1651</v>
      </c>
      <c r="I14" s="197">
        <v>419</v>
      </c>
      <c r="J14" s="200">
        <v>419</v>
      </c>
      <c r="K14" s="200">
        <v>423</v>
      </c>
      <c r="L14" s="200">
        <f>1690-1261</f>
        <v>429</v>
      </c>
      <c r="M14" s="199">
        <f t="shared" ref="M14" si="5">SUM(I14:L14)</f>
        <v>1690</v>
      </c>
      <c r="N14" s="211">
        <v>433</v>
      </c>
      <c r="O14" s="200">
        <f>O41</f>
        <v>431</v>
      </c>
      <c r="P14" s="200">
        <f t="shared" ref="P14:Q14" si="6">P41</f>
        <v>431</v>
      </c>
      <c r="Q14" s="200">
        <f t="shared" si="6"/>
        <v>431</v>
      </c>
      <c r="R14" s="199">
        <f>SUM(N14:Q14)</f>
        <v>1726</v>
      </c>
      <c r="S14" s="211">
        <f t="shared" ref="S14:V14" si="7">S41</f>
        <v>431</v>
      </c>
      <c r="T14" s="200">
        <f t="shared" si="7"/>
        <v>431</v>
      </c>
      <c r="U14" s="200">
        <f t="shared" si="7"/>
        <v>431</v>
      </c>
      <c r="V14" s="200">
        <f t="shared" si="7"/>
        <v>431</v>
      </c>
      <c r="W14" s="199">
        <f>SUM(S14:V14)</f>
        <v>1724</v>
      </c>
    </row>
    <row r="15" spans="1:30" s="50" customFormat="1" ht="16.2" x14ac:dyDescent="0.45">
      <c r="B15" s="66" t="s">
        <v>106</v>
      </c>
      <c r="C15" s="57"/>
      <c r="D15" s="201">
        <v>4194</v>
      </c>
      <c r="E15" s="202">
        <v>4298</v>
      </c>
      <c r="F15" s="202">
        <v>4217</v>
      </c>
      <c r="G15" s="202">
        <v>4125</v>
      </c>
      <c r="H15" s="203">
        <f t="shared" ref="H15" si="8">SUM(D15:G15)</f>
        <v>16834</v>
      </c>
      <c r="I15" s="201">
        <v>4163</v>
      </c>
      <c r="J15" s="204">
        <v>4299</v>
      </c>
      <c r="K15" s="204">
        <v>4161</v>
      </c>
      <c r="L15" s="204">
        <f>16801-12623</f>
        <v>4178</v>
      </c>
      <c r="M15" s="203">
        <f t="shared" ref="M15" si="9">SUM(I15:L15)</f>
        <v>16801</v>
      </c>
      <c r="N15" s="209">
        <v>4281</v>
      </c>
      <c r="O15" s="204">
        <f>O11*O42</f>
        <v>4579.9573295807313</v>
      </c>
      <c r="P15" s="204">
        <f>P11*P42</f>
        <v>4237.0150000000003</v>
      </c>
      <c r="Q15" s="204">
        <f>Q11*Q42</f>
        <v>4256.9999999999991</v>
      </c>
      <c r="R15" s="203">
        <f>SUM(N15:Q15)</f>
        <v>17354.972329580731</v>
      </c>
      <c r="S15" s="209">
        <f>S11*S42</f>
        <v>4337.0999999999995</v>
      </c>
      <c r="T15" s="204">
        <f>T11*T42</f>
        <v>4857.2873855999997</v>
      </c>
      <c r="U15" s="204">
        <f>U11*U42</f>
        <v>4550.8782660751995</v>
      </c>
      <c r="V15" s="204">
        <f>V11*V42</f>
        <v>4740.1775141629505</v>
      </c>
      <c r="W15" s="203">
        <f>SUM(S15:V15)</f>
        <v>18485.443165838151</v>
      </c>
    </row>
    <row r="16" spans="1:30" s="19" customFormat="1" ht="16.2" x14ac:dyDescent="0.45">
      <c r="B16" s="26" t="s">
        <v>27</v>
      </c>
      <c r="C16" s="27"/>
      <c r="D16" s="212">
        <f>SUM(D14:D15)</f>
        <v>4608</v>
      </c>
      <c r="E16" s="213">
        <f>SUM(E14:E15)</f>
        <v>4713</v>
      </c>
      <c r="F16" s="213">
        <f>SUM(F14:F15)</f>
        <v>4632</v>
      </c>
      <c r="G16" s="213">
        <f>SUM(G14:G15)</f>
        <v>4532</v>
      </c>
      <c r="H16" s="214">
        <f>SUM(H14:H15)</f>
        <v>18485</v>
      </c>
      <c r="I16" s="212">
        <f>SUM(I14:I15)</f>
        <v>4582</v>
      </c>
      <c r="J16" s="215">
        <f>SUM(J14:J15)</f>
        <v>4718</v>
      </c>
      <c r="K16" s="215">
        <f>SUM(K14:K15)</f>
        <v>4584</v>
      </c>
      <c r="L16" s="215">
        <f>SUM(L14:L15)</f>
        <v>4607</v>
      </c>
      <c r="M16" s="214">
        <f>SUM(M14:M15)</f>
        <v>18491</v>
      </c>
      <c r="N16" s="216">
        <f>SUM(N14:N15)</f>
        <v>4714</v>
      </c>
      <c r="O16" s="215">
        <f>SUM(O14:O15)</f>
        <v>5010.9573295807313</v>
      </c>
      <c r="P16" s="215">
        <f>SUM(P14:P15)</f>
        <v>4668.0150000000003</v>
      </c>
      <c r="Q16" s="215">
        <f>SUM(Q14:Q15)</f>
        <v>4687.9999999999991</v>
      </c>
      <c r="R16" s="214">
        <f>SUM(R14:R15)</f>
        <v>19080.972329580731</v>
      </c>
      <c r="S16" s="216">
        <f>SUM(S14:S15)</f>
        <v>4768.0999999999995</v>
      </c>
      <c r="T16" s="215">
        <f>SUM(T14:T15)</f>
        <v>5288.2873855999997</v>
      </c>
      <c r="U16" s="215">
        <f>SUM(U14:U15)</f>
        <v>4981.8782660751995</v>
      </c>
      <c r="V16" s="215">
        <f>SUM(V14:V15)</f>
        <v>5171.1775141629505</v>
      </c>
      <c r="W16" s="214">
        <f>SUM(W14:W15)</f>
        <v>20209.443165838151</v>
      </c>
    </row>
    <row r="17" spans="2:25" x14ac:dyDescent="0.3">
      <c r="B17" s="159" t="s">
        <v>25</v>
      </c>
      <c r="C17" s="160"/>
      <c r="D17" s="205">
        <f>D13-D16</f>
        <v>2277</v>
      </c>
      <c r="E17" s="206">
        <f>E13-E16</f>
        <v>3448</v>
      </c>
      <c r="F17" s="206">
        <f>F13-F16</f>
        <v>2553</v>
      </c>
      <c r="G17" s="206">
        <f>G13-G16</f>
        <v>2191</v>
      </c>
      <c r="H17" s="207">
        <f>H13-H16</f>
        <v>10469</v>
      </c>
      <c r="I17" s="205">
        <f>I13-I16</f>
        <v>2597</v>
      </c>
      <c r="J17" s="208">
        <f>J13-J16</f>
        <v>3647</v>
      </c>
      <c r="K17" s="208">
        <f>K13-K16</f>
        <v>2981</v>
      </c>
      <c r="L17" s="208">
        <f>L13-L16</f>
        <v>2549</v>
      </c>
      <c r="M17" s="207">
        <f>M13-M16</f>
        <v>11774</v>
      </c>
      <c r="N17" s="210">
        <f>N13-N16</f>
        <v>3077</v>
      </c>
      <c r="O17" s="208">
        <f>O13-O16</f>
        <v>4122.4835877912483</v>
      </c>
      <c r="P17" s="208">
        <f>P13-P16</f>
        <v>3344.2149999999992</v>
      </c>
      <c r="Q17" s="208">
        <f>Q13-Q16</f>
        <v>2836.0000000000009</v>
      </c>
      <c r="R17" s="207">
        <f>R13-R16</f>
        <v>13379.698587791256</v>
      </c>
      <c r="S17" s="210">
        <f>S13-S16</f>
        <v>3384.699999999998</v>
      </c>
      <c r="T17" s="208">
        <f>T13-T16</f>
        <v>3940.5586470400021</v>
      </c>
      <c r="U17" s="208">
        <f>U13-U16</f>
        <v>3209.7026128601619</v>
      </c>
      <c r="V17" s="208">
        <f>V13-V16</f>
        <v>2934.5260350556955</v>
      </c>
      <c r="W17" s="207">
        <f>W13-W16</f>
        <v>13469.487294955856</v>
      </c>
    </row>
    <row r="18" spans="2:25" s="50" customFormat="1" x14ac:dyDescent="0.3">
      <c r="B18" s="218" t="s">
        <v>108</v>
      </c>
      <c r="C18" s="63"/>
      <c r="D18" s="198">
        <v>-100</v>
      </c>
      <c r="E18" s="198">
        <v>-17</v>
      </c>
      <c r="F18" s="198">
        <v>-105</v>
      </c>
      <c r="G18" s="198">
        <v>-115</v>
      </c>
      <c r="H18" s="199">
        <f>SUM(D18:G18)</f>
        <v>-337</v>
      </c>
      <c r="I18" s="197">
        <v>-4</v>
      </c>
      <c r="J18" s="200">
        <v>-149</v>
      </c>
      <c r="K18" s="200">
        <v>-7</v>
      </c>
      <c r="L18" s="200">
        <v>-6</v>
      </c>
      <c r="M18" s="199">
        <f>SUM(I18:L18)</f>
        <v>-166</v>
      </c>
      <c r="N18" s="200">
        <v>-7</v>
      </c>
      <c r="O18" s="200">
        <f t="shared" ref="O18:Q18" si="10">O43</f>
        <v>-6.5</v>
      </c>
      <c r="P18" s="200">
        <f t="shared" si="10"/>
        <v>-6.5</v>
      </c>
      <c r="Q18" s="200">
        <f t="shared" si="10"/>
        <v>-6.5</v>
      </c>
      <c r="R18" s="199">
        <f>SUM(N18:Q18)</f>
        <v>-26.5</v>
      </c>
      <c r="S18" s="200">
        <f t="shared" ref="S18:V18" si="11">S43</f>
        <v>-6.5</v>
      </c>
      <c r="T18" s="200">
        <f t="shared" si="11"/>
        <v>-6.5</v>
      </c>
      <c r="U18" s="200">
        <f t="shared" si="11"/>
        <v>-6.5</v>
      </c>
      <c r="V18" s="200">
        <f t="shared" si="11"/>
        <v>-6.5</v>
      </c>
      <c r="W18" s="199">
        <f>SUM(S18:V18)</f>
        <v>-26</v>
      </c>
    </row>
    <row r="19" spans="2:25" s="50" customFormat="1" ht="16.2" x14ac:dyDescent="0.45">
      <c r="B19" s="62" t="s">
        <v>28</v>
      </c>
      <c r="C19" s="122"/>
      <c r="D19" s="202">
        <v>191</v>
      </c>
      <c r="E19" s="202">
        <v>208</v>
      </c>
      <c r="F19" s="202">
        <v>218</v>
      </c>
      <c r="G19" s="202">
        <v>213</v>
      </c>
      <c r="H19" s="203">
        <f>SUM(D19:G19)</f>
        <v>830</v>
      </c>
      <c r="I19" s="201">
        <v>197</v>
      </c>
      <c r="J19" s="204">
        <v>233</v>
      </c>
      <c r="K19" s="204">
        <v>247</v>
      </c>
      <c r="L19" s="204">
        <v>242</v>
      </c>
      <c r="M19" s="203">
        <v>919</v>
      </c>
      <c r="N19" s="204">
        <v>244</v>
      </c>
      <c r="O19" s="204">
        <f>O44</f>
        <v>243</v>
      </c>
      <c r="P19" s="204">
        <f t="shared" ref="P19:Q19" si="12">P44</f>
        <v>243</v>
      </c>
      <c r="Q19" s="204">
        <f t="shared" si="12"/>
        <v>243</v>
      </c>
      <c r="R19" s="203">
        <f>SUM(N19:Q19)</f>
        <v>973</v>
      </c>
      <c r="S19" s="204">
        <f t="shared" ref="S19:V19" si="13">S44</f>
        <v>243</v>
      </c>
      <c r="T19" s="204">
        <f t="shared" si="13"/>
        <v>243</v>
      </c>
      <c r="U19" s="204">
        <f t="shared" si="13"/>
        <v>243</v>
      </c>
      <c r="V19" s="204">
        <f t="shared" si="13"/>
        <v>243</v>
      </c>
      <c r="W19" s="203">
        <f>SUM(S19:V19)</f>
        <v>972</v>
      </c>
    </row>
    <row r="20" spans="2:25" s="52" customFormat="1" ht="16.2" x14ac:dyDescent="0.45">
      <c r="B20" s="159" t="s">
        <v>107</v>
      </c>
      <c r="C20" s="160"/>
      <c r="D20" s="212">
        <f>D18+D19</f>
        <v>91</v>
      </c>
      <c r="E20" s="213">
        <f t="shared" ref="E20:W20" si="14">E18+E19</f>
        <v>191</v>
      </c>
      <c r="F20" s="213">
        <f t="shared" si="14"/>
        <v>113</v>
      </c>
      <c r="G20" s="213">
        <f t="shared" si="14"/>
        <v>98</v>
      </c>
      <c r="H20" s="214">
        <f t="shared" si="14"/>
        <v>493</v>
      </c>
      <c r="I20" s="212">
        <f t="shared" si="14"/>
        <v>193</v>
      </c>
      <c r="J20" s="213">
        <f t="shared" si="14"/>
        <v>84</v>
      </c>
      <c r="K20" s="213">
        <f t="shared" si="14"/>
        <v>240</v>
      </c>
      <c r="L20" s="213">
        <f t="shared" si="14"/>
        <v>236</v>
      </c>
      <c r="M20" s="214">
        <f t="shared" si="14"/>
        <v>753</v>
      </c>
      <c r="N20" s="212">
        <f t="shared" si="14"/>
        <v>237</v>
      </c>
      <c r="O20" s="213">
        <f t="shared" si="14"/>
        <v>236.5</v>
      </c>
      <c r="P20" s="213">
        <f t="shared" si="14"/>
        <v>236.5</v>
      </c>
      <c r="Q20" s="213">
        <f t="shared" si="14"/>
        <v>236.5</v>
      </c>
      <c r="R20" s="214">
        <f t="shared" si="14"/>
        <v>946.5</v>
      </c>
      <c r="S20" s="212">
        <f t="shared" si="14"/>
        <v>236.5</v>
      </c>
      <c r="T20" s="213">
        <f t="shared" si="14"/>
        <v>236.5</v>
      </c>
      <c r="U20" s="213">
        <f t="shared" si="14"/>
        <v>236.5</v>
      </c>
      <c r="V20" s="213">
        <f t="shared" si="14"/>
        <v>236.5</v>
      </c>
      <c r="W20" s="214">
        <f t="shared" ref="W20" si="15">W18+W19</f>
        <v>946</v>
      </c>
    </row>
    <row r="21" spans="2:25" x14ac:dyDescent="0.3">
      <c r="B21" s="159" t="s">
        <v>22</v>
      </c>
      <c r="C21" s="160"/>
      <c r="D21" s="206">
        <f t="shared" ref="D21:M21" si="16">D17-D20</f>
        <v>2186</v>
      </c>
      <c r="E21" s="206">
        <f t="shared" si="16"/>
        <v>3257</v>
      </c>
      <c r="F21" s="206">
        <f t="shared" si="16"/>
        <v>2440</v>
      </c>
      <c r="G21" s="206">
        <f t="shared" si="16"/>
        <v>2093</v>
      </c>
      <c r="H21" s="207">
        <f t="shared" si="16"/>
        <v>9976</v>
      </c>
      <c r="I21" s="206">
        <f t="shared" si="16"/>
        <v>2404</v>
      </c>
      <c r="J21" s="206">
        <f t="shared" si="16"/>
        <v>3563</v>
      </c>
      <c r="K21" s="206">
        <f t="shared" si="16"/>
        <v>2741</v>
      </c>
      <c r="L21" s="206">
        <f t="shared" si="16"/>
        <v>2313</v>
      </c>
      <c r="M21" s="207">
        <f t="shared" si="16"/>
        <v>11021</v>
      </c>
      <c r="N21" s="206">
        <f>N17-N20</f>
        <v>2840</v>
      </c>
      <c r="O21" s="206">
        <f t="shared" ref="O21:W21" si="17">O17-O20</f>
        <v>3885.9835877912483</v>
      </c>
      <c r="P21" s="206">
        <f t="shared" si="17"/>
        <v>3107.7149999999992</v>
      </c>
      <c r="Q21" s="206">
        <f t="shared" si="17"/>
        <v>2599.5000000000009</v>
      </c>
      <c r="R21" s="207">
        <f t="shared" si="17"/>
        <v>12433.198587791256</v>
      </c>
      <c r="S21" s="206">
        <f t="shared" si="17"/>
        <v>3148.199999999998</v>
      </c>
      <c r="T21" s="206">
        <f t="shared" si="17"/>
        <v>3704.0586470400021</v>
      </c>
      <c r="U21" s="206">
        <f t="shared" si="17"/>
        <v>2973.2026128601619</v>
      </c>
      <c r="V21" s="206">
        <f t="shared" si="17"/>
        <v>2698.0260350556955</v>
      </c>
      <c r="W21" s="207">
        <f t="shared" si="17"/>
        <v>12523.487294955856</v>
      </c>
    </row>
    <row r="22" spans="2:25" ht="16.2" x14ac:dyDescent="0.45">
      <c r="B22" s="157" t="s">
        <v>34</v>
      </c>
      <c r="C22" s="158"/>
      <c r="D22" s="202">
        <v>807</v>
      </c>
      <c r="E22" s="202">
        <v>1207</v>
      </c>
      <c r="F22" s="202">
        <v>903</v>
      </c>
      <c r="G22" s="202">
        <v>714</v>
      </c>
      <c r="H22" s="203">
        <f>SUM(D22:G22)</f>
        <v>3631</v>
      </c>
      <c r="I22" s="201">
        <v>825</v>
      </c>
      <c r="J22" s="204">
        <v>1329</v>
      </c>
      <c r="K22" s="204">
        <v>1016</v>
      </c>
      <c r="L22" s="204">
        <v>842</v>
      </c>
      <c r="M22" s="219">
        <f>SUM(I22:L22)</f>
        <v>4012</v>
      </c>
      <c r="N22" s="204">
        <v>1037</v>
      </c>
      <c r="O22" s="204">
        <f>O21*O45</f>
        <v>1437.8139274827618</v>
      </c>
      <c r="P22" s="204">
        <f>P21*P45</f>
        <v>1149.8545499999998</v>
      </c>
      <c r="Q22" s="204">
        <f>Q21*Q45</f>
        <v>961.81500000000028</v>
      </c>
      <c r="R22" s="203">
        <f>SUM(N22:Q22)</f>
        <v>4586.4834774827623</v>
      </c>
      <c r="S22" s="204">
        <f>S21*S45</f>
        <v>1164.8339999999992</v>
      </c>
      <c r="T22" s="204">
        <f>T21*T45</f>
        <v>1370.5016994048008</v>
      </c>
      <c r="U22" s="204">
        <f>U21*U45</f>
        <v>1100.08496675826</v>
      </c>
      <c r="V22" s="204">
        <f>V21*V45</f>
        <v>998.26963297060729</v>
      </c>
      <c r="W22" s="203">
        <f>SUM(S22:V22)</f>
        <v>4633.6902991336665</v>
      </c>
    </row>
    <row r="23" spans="2:25" x14ac:dyDescent="0.3">
      <c r="B23" s="159" t="s">
        <v>29</v>
      </c>
      <c r="C23" s="160"/>
      <c r="D23" s="206">
        <f t="shared" ref="D23:J23" si="18">D21-D22</f>
        <v>1379</v>
      </c>
      <c r="E23" s="206">
        <f t="shared" si="18"/>
        <v>2050</v>
      </c>
      <c r="F23" s="206">
        <f t="shared" si="18"/>
        <v>1537</v>
      </c>
      <c r="G23" s="206">
        <f t="shared" si="18"/>
        <v>1379</v>
      </c>
      <c r="H23" s="207">
        <f t="shared" si="18"/>
        <v>6345</v>
      </c>
      <c r="I23" s="205">
        <f t="shared" si="18"/>
        <v>1579</v>
      </c>
      <c r="J23" s="208">
        <f t="shared" si="18"/>
        <v>2234</v>
      </c>
      <c r="K23" s="208">
        <f>K21-K22</f>
        <v>1725</v>
      </c>
      <c r="L23" s="208">
        <f t="shared" ref="L23:W23" si="19">L21-L22</f>
        <v>1471</v>
      </c>
      <c r="M23" s="207">
        <f t="shared" si="19"/>
        <v>7009</v>
      </c>
      <c r="N23" s="208">
        <f t="shared" si="19"/>
        <v>1803</v>
      </c>
      <c r="O23" s="208">
        <f t="shared" si="19"/>
        <v>2448.1696603084865</v>
      </c>
      <c r="P23" s="208">
        <f t="shared" si="19"/>
        <v>1957.8604499999994</v>
      </c>
      <c r="Q23" s="208">
        <f t="shared" si="19"/>
        <v>1637.6850000000006</v>
      </c>
      <c r="R23" s="207">
        <f t="shared" si="19"/>
        <v>7846.7151103084934</v>
      </c>
      <c r="S23" s="208">
        <f t="shared" si="19"/>
        <v>1983.3659999999988</v>
      </c>
      <c r="T23" s="208">
        <f t="shared" si="19"/>
        <v>2333.5569476352011</v>
      </c>
      <c r="U23" s="208">
        <f t="shared" si="19"/>
        <v>1873.117646101902</v>
      </c>
      <c r="V23" s="208">
        <f t="shared" si="19"/>
        <v>1699.7564020850882</v>
      </c>
      <c r="W23" s="207">
        <f t="shared" ref="W23" si="20">W21-W22</f>
        <v>7889.7969958221893</v>
      </c>
    </row>
    <row r="24" spans="2:25" x14ac:dyDescent="0.3">
      <c r="B24" s="165" t="s">
        <v>6</v>
      </c>
      <c r="C24" s="166"/>
      <c r="D24" s="198">
        <v>1376</v>
      </c>
      <c r="E24" s="198">
        <v>1346</v>
      </c>
      <c r="F24" s="198">
        <v>1327</v>
      </c>
      <c r="G24" s="198">
        <v>1306</v>
      </c>
      <c r="H24" s="199">
        <v>1338</v>
      </c>
      <c r="I24" s="197">
        <v>1298</v>
      </c>
      <c r="J24" s="200">
        <v>1283</v>
      </c>
      <c r="K24" s="200">
        <v>1268</v>
      </c>
      <c r="L24" s="200">
        <v>1252</v>
      </c>
      <c r="M24" s="199">
        <v>1277</v>
      </c>
      <c r="N24" s="200">
        <v>1247</v>
      </c>
      <c r="O24" s="200">
        <f>N24*(1+O62)-O66</f>
        <v>1240.2632307692306</v>
      </c>
      <c r="P24" s="200">
        <f>O24*(1+P62)-P66</f>
        <v>1233.5129879999997</v>
      </c>
      <c r="Q24" s="200">
        <f>P24*(1+Q62)-Q66</f>
        <v>1226.7492447452305</v>
      </c>
      <c r="R24" s="199">
        <f>((N24*N23/R23)+(O24*O23/R23)+(P24*P23/R23)+(Q24*Q23/R23))</f>
        <v>1237.3064150446553</v>
      </c>
      <c r="S24" s="200">
        <v>1300</v>
      </c>
      <c r="T24" s="200">
        <v>1300</v>
      </c>
      <c r="U24" s="200">
        <v>1300</v>
      </c>
      <c r="V24" s="200">
        <v>1300</v>
      </c>
      <c r="W24" s="199">
        <f>((S24*S23/W23)+(T24*T23/W23)+(U24*U23/W23)+(V24*V23/W23))</f>
        <v>1300.0000000000002</v>
      </c>
    </row>
    <row r="25" spans="2:25" ht="15.75" customHeight="1" x14ac:dyDescent="0.3">
      <c r="B25" s="165" t="s">
        <v>7</v>
      </c>
      <c r="C25" s="166"/>
      <c r="D25" s="198">
        <v>1376</v>
      </c>
      <c r="E25" s="115">
        <v>1353</v>
      </c>
      <c r="F25" s="198">
        <v>1334</v>
      </c>
      <c r="G25" s="198">
        <v>1314</v>
      </c>
      <c r="H25" s="199">
        <v>1346</v>
      </c>
      <c r="I25" s="197">
        <v>1305</v>
      </c>
      <c r="J25" s="200">
        <v>1289</v>
      </c>
      <c r="K25" s="200">
        <v>1274</v>
      </c>
      <c r="L25" s="200">
        <v>1259</v>
      </c>
      <c r="M25" s="199">
        <v>1283</v>
      </c>
      <c r="N25" s="200">
        <v>1252</v>
      </c>
      <c r="O25" s="200">
        <f>N25*(1+O63)-O66</f>
        <v>1245.2732307692306</v>
      </c>
      <c r="P25" s="200">
        <f>O25*(1+P63)-P66</f>
        <v>1238.5330079999999</v>
      </c>
      <c r="Q25" s="200">
        <f>P25*(1+Q63)-Q66</f>
        <v>1231.7793047852306</v>
      </c>
      <c r="R25" s="199">
        <f>((N25*N23/R23)+(O25*O23/R23)+(P25*P23/R23)+(Q25*Q23/R23))</f>
        <v>1242.3208041154746</v>
      </c>
      <c r="S25" s="200">
        <f>R25*(1+S63)-S66</f>
        <v>1235.5746764929363</v>
      </c>
      <c r="T25" s="200">
        <f>S25*(1+T63)-T66</f>
        <v>1228.8150566151528</v>
      </c>
      <c r="U25" s="200">
        <f>T25*(1+U63)-U66</f>
        <v>1222.0419174976139</v>
      </c>
      <c r="V25" s="200">
        <f>U25*(1+V63)-V66</f>
        <v>1215.2552321018397</v>
      </c>
      <c r="W25" s="217">
        <f>((S25*S23/W23)+(T25*T23/W23)+(U25*U23/W23)+(V25*V23/W23))</f>
        <v>1225.9850110890739</v>
      </c>
    </row>
    <row r="26" spans="2:25" s="51" customFormat="1" ht="15.75" customHeight="1" x14ac:dyDescent="0.3">
      <c r="B26" s="165" t="s">
        <v>4</v>
      </c>
      <c r="C26" s="166"/>
      <c r="D26" s="42">
        <f>D23/D24</f>
        <v>1.0021802325581395</v>
      </c>
      <c r="E26" s="42">
        <f>E23/E24</f>
        <v>1.5230312035661218</v>
      </c>
      <c r="F26" s="42">
        <f>F23/F24</f>
        <v>1.1582516955538809</v>
      </c>
      <c r="G26" s="42">
        <f>G23/G24</f>
        <v>1.055895865237366</v>
      </c>
      <c r="H26" s="39">
        <v>4.74</v>
      </c>
      <c r="I26" s="70">
        <f>I23/I24</f>
        <v>1.2164869029275809</v>
      </c>
      <c r="J26" s="38">
        <f>J23/J24</f>
        <v>1.7412314886983633</v>
      </c>
      <c r="K26" s="38">
        <f>K23/K24</f>
        <v>1.360410094637224</v>
      </c>
      <c r="L26" s="38">
        <f>L23/L24</f>
        <v>1.1749201277955272</v>
      </c>
      <c r="M26" s="39">
        <f>M23/M24</f>
        <v>5.488645262333594</v>
      </c>
      <c r="N26" s="38">
        <f>N23/N24</f>
        <v>1.4458700882117081</v>
      </c>
      <c r="O26" s="38">
        <f>O23/O24</f>
        <v>1.9739113436347648</v>
      </c>
      <c r="P26" s="38">
        <f>P23/P24</f>
        <v>1.5872232145479443</v>
      </c>
      <c r="Q26" s="38">
        <f>Q23/Q24</f>
        <v>1.3349794238839028</v>
      </c>
      <c r="R26" s="39">
        <f>R23/R24</f>
        <v>6.3417719450078982</v>
      </c>
      <c r="S26" s="38">
        <f>S23/S24</f>
        <v>1.5256661538461529</v>
      </c>
      <c r="T26" s="38">
        <f>T23/T24</f>
        <v>1.7950438058732316</v>
      </c>
      <c r="U26" s="38">
        <f>U23/U24</f>
        <v>1.4408597277706938</v>
      </c>
      <c r="V26" s="38">
        <f>V23/V24</f>
        <v>1.307504924680837</v>
      </c>
      <c r="W26" s="39">
        <f>W23/W24</f>
        <v>6.0690746121709136</v>
      </c>
    </row>
    <row r="27" spans="2:25" x14ac:dyDescent="0.3">
      <c r="B27" s="185" t="s">
        <v>5</v>
      </c>
      <c r="C27" s="186"/>
      <c r="D27" s="71">
        <f>D23/D25</f>
        <v>1.0021802325581395</v>
      </c>
      <c r="E27" s="71">
        <f>E23/E25</f>
        <v>1.5151515151515151</v>
      </c>
      <c r="F27" s="71">
        <f>F23/F25</f>
        <v>1.1521739130434783</v>
      </c>
      <c r="G27" s="71">
        <f>G23/G25</f>
        <v>1.0494672754946728</v>
      </c>
      <c r="H27" s="47">
        <v>4.71</v>
      </c>
      <c r="I27" s="72">
        <f>I23/I25</f>
        <v>1.2099616858237547</v>
      </c>
      <c r="J27" s="10">
        <f>J23/J25</f>
        <v>1.7331264546159815</v>
      </c>
      <c r="K27" s="10">
        <f>K23/K25</f>
        <v>1.3540031397174255</v>
      </c>
      <c r="L27" s="10">
        <f>L23/L25</f>
        <v>1.1683876092136616</v>
      </c>
      <c r="M27" s="196">
        <f>M23/M25</f>
        <v>5.4629773967264228</v>
      </c>
      <c r="N27" s="10">
        <f>N23/N25</f>
        <v>1.4400958466453675</v>
      </c>
      <c r="O27" s="308">
        <f>O23/O25</f>
        <v>1.9659698769853122</v>
      </c>
      <c r="P27" s="308">
        <f>P23/P25</f>
        <v>1.5807898839624626</v>
      </c>
      <c r="Q27" s="308">
        <f>Q23/Q25</f>
        <v>1.3295279386801702</v>
      </c>
      <c r="R27" s="309">
        <f>R23/R25</f>
        <v>6.3161746018535929</v>
      </c>
      <c r="S27" s="308">
        <f>S23/S25</f>
        <v>1.6052174245182804</v>
      </c>
      <c r="T27" s="10">
        <f>T23/T25</f>
        <v>1.8990302365460334</v>
      </c>
      <c r="U27" s="10">
        <f>U23/U25</f>
        <v>1.5327769197455203</v>
      </c>
      <c r="V27" s="10">
        <f>V23/V25</f>
        <v>1.3986826447521492</v>
      </c>
      <c r="W27" s="47">
        <f>W23/W25</f>
        <v>6.4354759026078803</v>
      </c>
    </row>
    <row r="28" spans="2:25" s="12" customFormat="1" x14ac:dyDescent="0.3">
      <c r="B28" s="35" t="s">
        <v>14</v>
      </c>
      <c r="C28" s="36"/>
      <c r="D28" s="42">
        <v>0.47</v>
      </c>
      <c r="E28" s="37">
        <v>0.47</v>
      </c>
      <c r="F28" s="37">
        <v>0.47</v>
      </c>
      <c r="G28" s="42"/>
      <c r="H28" s="195">
        <f>SUM(D28:G28)</f>
        <v>1.41</v>
      </c>
      <c r="I28" s="42">
        <v>0.59</v>
      </c>
      <c r="J28" s="38">
        <v>0.59</v>
      </c>
      <c r="K28" s="38">
        <v>0.59</v>
      </c>
      <c r="L28" s="38">
        <v>0.59</v>
      </c>
      <c r="M28" s="195">
        <f>SUM(I28:L28)</f>
        <v>2.36</v>
      </c>
      <c r="N28" s="38">
        <v>0.69</v>
      </c>
      <c r="O28" s="38">
        <v>0.69</v>
      </c>
      <c r="P28" s="38">
        <v>0.69</v>
      </c>
      <c r="Q28" s="38">
        <v>0.69</v>
      </c>
      <c r="R28" s="195"/>
      <c r="S28" s="38"/>
      <c r="T28" s="38">
        <f t="shared" ref="T28:V28" si="21">O28</f>
        <v>0.69</v>
      </c>
      <c r="U28" s="38">
        <f t="shared" si="21"/>
        <v>0.69</v>
      </c>
      <c r="V28" s="38">
        <f t="shared" si="21"/>
        <v>0.69</v>
      </c>
      <c r="W28" s="195">
        <f>SUM(S28:V28)</f>
        <v>2.0699999999999998</v>
      </c>
    </row>
    <row r="29" spans="2:25" x14ac:dyDescent="0.3">
      <c r="B29" s="21"/>
      <c r="C29" s="24"/>
      <c r="D29" s="99">
        <f>ROUND(((D33*D35)+D37-D11),0)</f>
        <v>0</v>
      </c>
      <c r="E29" s="299">
        <f t="shared" ref="E29:W29" si="22">ROUND(((E33*E35)+E37-E11),0)</f>
        <v>0</v>
      </c>
      <c r="F29" s="299">
        <f t="shared" si="22"/>
        <v>0</v>
      </c>
      <c r="G29" s="299"/>
      <c r="H29" s="299">
        <f t="shared" si="22"/>
        <v>0</v>
      </c>
      <c r="I29" s="299">
        <f t="shared" si="22"/>
        <v>0</v>
      </c>
      <c r="J29" s="299">
        <f t="shared" si="22"/>
        <v>0</v>
      </c>
      <c r="K29" s="299">
        <f t="shared" si="22"/>
        <v>0</v>
      </c>
      <c r="L29" s="299"/>
      <c r="M29" s="299">
        <f t="shared" si="22"/>
        <v>0</v>
      </c>
      <c r="N29" s="299">
        <f t="shared" si="22"/>
        <v>0</v>
      </c>
      <c r="O29" s="299">
        <f t="shared" si="22"/>
        <v>0</v>
      </c>
      <c r="P29" s="299">
        <f t="shared" si="22"/>
        <v>0</v>
      </c>
      <c r="Q29" s="59">
        <f t="shared" si="22"/>
        <v>0</v>
      </c>
      <c r="R29" s="59"/>
      <c r="S29" s="59">
        <f t="shared" si="22"/>
        <v>0</v>
      </c>
      <c r="T29" s="59">
        <f t="shared" si="22"/>
        <v>0</v>
      </c>
      <c r="U29" s="59">
        <f t="shared" si="22"/>
        <v>0</v>
      </c>
      <c r="V29" s="59">
        <f t="shared" si="22"/>
        <v>0</v>
      </c>
      <c r="W29" s="59"/>
    </row>
    <row r="30" spans="2:25" ht="15.6" x14ac:dyDescent="0.3">
      <c r="B30" s="183" t="s">
        <v>3</v>
      </c>
      <c r="C30" s="184"/>
      <c r="D30" s="53" t="s">
        <v>101</v>
      </c>
      <c r="E30" s="53" t="s">
        <v>102</v>
      </c>
      <c r="F30" s="53" t="s">
        <v>103</v>
      </c>
      <c r="G30" s="53" t="s">
        <v>161</v>
      </c>
      <c r="H30" s="53" t="s">
        <v>161</v>
      </c>
      <c r="I30" s="53" t="s">
        <v>183</v>
      </c>
      <c r="J30" s="53" t="s">
        <v>184</v>
      </c>
      <c r="K30" s="53" t="s">
        <v>185</v>
      </c>
      <c r="L30" s="53" t="s">
        <v>166</v>
      </c>
      <c r="M30" s="53" t="s">
        <v>166</v>
      </c>
      <c r="N30" s="53" t="s">
        <v>136</v>
      </c>
      <c r="O30" s="55" t="s">
        <v>137</v>
      </c>
      <c r="P30" s="55" t="s">
        <v>138</v>
      </c>
      <c r="Q30" s="55" t="s">
        <v>171</v>
      </c>
      <c r="R30" s="55" t="s">
        <v>171</v>
      </c>
      <c r="S30" s="55" t="s">
        <v>139</v>
      </c>
      <c r="T30" s="55" t="s">
        <v>140</v>
      </c>
      <c r="U30" s="55" t="s">
        <v>141</v>
      </c>
      <c r="V30" s="55" t="s">
        <v>177</v>
      </c>
      <c r="W30" s="60" t="s">
        <v>177</v>
      </c>
    </row>
    <row r="31" spans="2:25" ht="16.2" x14ac:dyDescent="0.45">
      <c r="B31" s="169" t="s">
        <v>30</v>
      </c>
      <c r="C31" s="170"/>
      <c r="D31" s="54" t="s">
        <v>165</v>
      </c>
      <c r="E31" s="54" t="s">
        <v>164</v>
      </c>
      <c r="F31" s="54" t="s">
        <v>163</v>
      </c>
      <c r="G31" s="54" t="s">
        <v>162</v>
      </c>
      <c r="H31" s="54" t="s">
        <v>11</v>
      </c>
      <c r="I31" s="54" t="s">
        <v>167</v>
      </c>
      <c r="J31" s="54" t="s">
        <v>168</v>
      </c>
      <c r="K31" s="54" t="s">
        <v>169</v>
      </c>
      <c r="L31" s="54" t="s">
        <v>170</v>
      </c>
      <c r="M31" s="54" t="s">
        <v>39</v>
      </c>
      <c r="N31" s="54" t="s">
        <v>172</v>
      </c>
      <c r="O31" s="56" t="s">
        <v>173</v>
      </c>
      <c r="P31" s="56" t="s">
        <v>174</v>
      </c>
      <c r="Q31" s="56" t="s">
        <v>175</v>
      </c>
      <c r="R31" s="56" t="s">
        <v>176</v>
      </c>
      <c r="S31" s="56" t="s">
        <v>178</v>
      </c>
      <c r="T31" s="56" t="s">
        <v>179</v>
      </c>
      <c r="U31" s="56" t="s">
        <v>180</v>
      </c>
      <c r="V31" s="56" t="s">
        <v>181</v>
      </c>
      <c r="W31" s="61" t="s">
        <v>182</v>
      </c>
      <c r="Y31" s="64"/>
    </row>
    <row r="32" spans="2:25" s="64" customFormat="1" ht="14.55" customHeight="1" x14ac:dyDescent="0.3">
      <c r="B32" s="220" t="s">
        <v>49</v>
      </c>
      <c r="C32" s="221"/>
      <c r="D32" s="135"/>
      <c r="E32" s="135"/>
      <c r="F32" s="135"/>
      <c r="G32" s="135"/>
      <c r="H32" s="151"/>
      <c r="I32" s="135"/>
      <c r="J32" s="135"/>
      <c r="K32" s="135"/>
      <c r="L32" s="135"/>
      <c r="M32" s="151"/>
      <c r="N32" s="135"/>
      <c r="O32" s="43"/>
      <c r="P32" s="43"/>
      <c r="Q32" s="43"/>
      <c r="R32" s="31"/>
      <c r="S32" s="43"/>
      <c r="T32" s="43"/>
      <c r="U32" s="43"/>
      <c r="V32" s="43"/>
      <c r="W32" s="31"/>
      <c r="Y32" s="242"/>
    </row>
    <row r="33" spans="2:25" s="64" customFormat="1" ht="14.55" hidden="1" customHeight="1" outlineLevel="1" x14ac:dyDescent="0.3">
      <c r="B33" s="165" t="s">
        <v>104</v>
      </c>
      <c r="C33" s="166"/>
      <c r="D33" s="227">
        <v>344.5</v>
      </c>
      <c r="E33" s="227">
        <v>409.7</v>
      </c>
      <c r="F33" s="227">
        <v>355.4</v>
      </c>
      <c r="G33" s="227">
        <f>H33-SUM(D33:F33)</f>
        <v>332</v>
      </c>
      <c r="H33" s="228">
        <v>1441.6</v>
      </c>
      <c r="I33" s="227">
        <v>360.2</v>
      </c>
      <c r="J33" s="227">
        <v>420.4</v>
      </c>
      <c r="K33" s="227">
        <v>371.1</v>
      </c>
      <c r="L33" s="227">
        <v>349.1</v>
      </c>
      <c r="M33" s="228">
        <v>1500.8</v>
      </c>
      <c r="N33" s="227">
        <v>374.8</v>
      </c>
      <c r="O33" s="229">
        <f>N33*(1+O34)</f>
        <v>427.64680000000004</v>
      </c>
      <c r="P33" s="229">
        <f t="shared" ref="P33:Q33" si="23">O33*(1+P34)</f>
        <v>380.0394471855999</v>
      </c>
      <c r="Q33" s="229">
        <f t="shared" si="23"/>
        <v>358.30929169224146</v>
      </c>
      <c r="R33" s="228"/>
      <c r="S33" s="229">
        <f>Q33*(1+S34)</f>
        <v>379.42626646119714</v>
      </c>
      <c r="T33" s="229">
        <f>S33*(1+T34)</f>
        <v>424.95741843654082</v>
      </c>
      <c r="U33" s="229">
        <f>T33*(1+U34)</f>
        <v>382.46167659288676</v>
      </c>
      <c r="V33" s="229">
        <f>U33*(1+V34)</f>
        <v>370.98782629510015</v>
      </c>
      <c r="W33" s="228"/>
      <c r="Y33" s="242"/>
    </row>
    <row r="34" spans="2:25" s="64" customFormat="1" ht="14.55" hidden="1" customHeight="1" outlineLevel="1" x14ac:dyDescent="0.3">
      <c r="B34" s="165" t="s">
        <v>143</v>
      </c>
      <c r="C34" s="166"/>
      <c r="D34" s="135"/>
      <c r="E34" s="74">
        <f>(E33-D33)/E33</f>
        <v>0.15914083475713936</v>
      </c>
      <c r="F34" s="74">
        <f t="shared" ref="F34:G34" si="24">(F33-E33)/F33</f>
        <v>-0.15278559369724259</v>
      </c>
      <c r="G34" s="74">
        <f t="shared" si="24"/>
        <v>-7.0481927710843301E-2</v>
      </c>
      <c r="H34" s="75"/>
      <c r="I34" s="74">
        <f>(I33-G33)/I33</f>
        <v>7.8289838978345336E-2</v>
      </c>
      <c r="J34" s="74">
        <f>(J33-I33)/J33</f>
        <v>0.14319695528068505</v>
      </c>
      <c r="K34" s="74">
        <f t="shared" ref="K34:L34" si="25">(K33-J33)/K33</f>
        <v>-0.13284828887092415</v>
      </c>
      <c r="L34" s="74">
        <f t="shared" si="25"/>
        <v>-6.3019192208536232E-2</v>
      </c>
      <c r="M34" s="75"/>
      <c r="N34" s="74">
        <f>(N33-L33)/N33</f>
        <v>6.8569903948772645E-2</v>
      </c>
      <c r="O34" s="30">
        <v>0.14099999999999999</v>
      </c>
      <c r="P34" s="30">
        <v>-0.11132400105507663</v>
      </c>
      <c r="Q34" s="30">
        <v>-5.7178684092617518E-2</v>
      </c>
      <c r="R34" s="40"/>
      <c r="S34" s="30">
        <v>5.8935046504720472E-2</v>
      </c>
      <c r="T34" s="30">
        <v>0.12</v>
      </c>
      <c r="U34" s="30">
        <v>-0.1</v>
      </c>
      <c r="V34" s="30">
        <v>-0.03</v>
      </c>
      <c r="W34" s="40"/>
    </row>
    <row r="35" spans="2:25" s="64" customFormat="1" ht="14.55" hidden="1" customHeight="1" outlineLevel="1" x14ac:dyDescent="0.3">
      <c r="B35" s="95" t="s">
        <v>142</v>
      </c>
      <c r="C35" s="96"/>
      <c r="D35" s="135">
        <v>57.59</v>
      </c>
      <c r="E35" s="135">
        <v>58.43</v>
      </c>
      <c r="F35" s="135">
        <v>57.55</v>
      </c>
      <c r="G35" s="135">
        <v>57.79</v>
      </c>
      <c r="H35" s="151">
        <v>57.87</v>
      </c>
      <c r="I35" s="135">
        <v>58.6</v>
      </c>
      <c r="J35" s="135">
        <v>59.42</v>
      </c>
      <c r="K35" s="135">
        <v>58.03</v>
      </c>
      <c r="L35" s="135">
        <v>58.96</v>
      </c>
      <c r="M35" s="151">
        <v>58.77</v>
      </c>
      <c r="N35" s="135">
        <v>60.03</v>
      </c>
      <c r="O35" s="153">
        <f>N35*(1+O36)</f>
        <v>61.290629999999993</v>
      </c>
      <c r="P35" s="153">
        <f t="shared" ref="P35" si="26">O35*(1+P36)</f>
        <v>60.064817399999995</v>
      </c>
      <c r="Q35" s="153">
        <f>P35*(1+Q36)</f>
        <v>60.665465573999995</v>
      </c>
      <c r="R35" s="151"/>
      <c r="S35" s="153">
        <f>Q35*(1+S36)</f>
        <v>61.769577047446795</v>
      </c>
      <c r="T35" s="153">
        <f>S35*(1+T36)</f>
        <v>62.881429434300841</v>
      </c>
      <c r="U35" s="153">
        <f t="shared" ref="U35:V35" si="27">T35*(1+U36)</f>
        <v>61.938207992786324</v>
      </c>
      <c r="V35" s="153">
        <f t="shared" si="27"/>
        <v>63.176972152642051</v>
      </c>
      <c r="W35" s="151"/>
    </row>
    <row r="36" spans="2:25" s="64" customFormat="1" ht="14.55" hidden="1" customHeight="1" outlineLevel="1" x14ac:dyDescent="0.3">
      <c r="B36" s="95" t="s">
        <v>144</v>
      </c>
      <c r="C36" s="96"/>
      <c r="D36" s="123"/>
      <c r="E36" s="123">
        <f>(E35-D35)/E35</f>
        <v>1.437617662159843E-2</v>
      </c>
      <c r="F36" s="123">
        <f t="shared" ref="F36:G36" si="28">(F35-E35)/F35</f>
        <v>-1.5291051259774155E-2</v>
      </c>
      <c r="G36" s="123">
        <f t="shared" si="28"/>
        <v>4.1529676414604946E-3</v>
      </c>
      <c r="H36" s="152"/>
      <c r="I36" s="123">
        <f>(I35-G35)/I35</f>
        <v>1.3822525597269663E-2</v>
      </c>
      <c r="J36" s="123">
        <f>(J35-I35)/J35</f>
        <v>1.3800067317401552E-2</v>
      </c>
      <c r="K36" s="123">
        <f t="shared" ref="K36:L36" si="29">(K35-J35)/K35</f>
        <v>-2.3953127692572816E-2</v>
      </c>
      <c r="L36" s="123">
        <f t="shared" si="29"/>
        <v>1.5773405698778827E-2</v>
      </c>
      <c r="M36" s="152"/>
      <c r="N36" s="123">
        <f>(N35-L35)/N35</f>
        <v>1.7824421122771952E-2</v>
      </c>
      <c r="O36" s="123">
        <v>2.1000000000000001E-2</v>
      </c>
      <c r="P36" s="123">
        <v>-0.02</v>
      </c>
      <c r="Q36" s="123">
        <f>P36+0.03</f>
        <v>9.9999999999999985E-3</v>
      </c>
      <c r="R36" s="152"/>
      <c r="S36" s="123">
        <v>1.8200000000000001E-2</v>
      </c>
      <c r="T36" s="123">
        <v>1.7999999999999999E-2</v>
      </c>
      <c r="U36" s="123">
        <v>-1.4999999999999999E-2</v>
      </c>
      <c r="V36" s="123">
        <v>0.02</v>
      </c>
      <c r="W36" s="75"/>
    </row>
    <row r="37" spans="2:25" s="302" customFormat="1" ht="14.55" hidden="1" customHeight="1" outlineLevel="1" x14ac:dyDescent="0.3">
      <c r="B37" s="300" t="s">
        <v>187</v>
      </c>
      <c r="C37" s="301"/>
      <c r="D37" s="303">
        <v>-152.76</v>
      </c>
      <c r="E37" s="303">
        <v>-127.77</v>
      </c>
      <c r="F37" s="303">
        <v>62.73</v>
      </c>
      <c r="G37" s="303">
        <v>-32</v>
      </c>
      <c r="H37" s="304">
        <f>SUM(D37:G37)</f>
        <v>-249.79999999999998</v>
      </c>
      <c r="I37" s="303">
        <v>-217</v>
      </c>
      <c r="J37" s="303">
        <v>-151</v>
      </c>
      <c r="K37" s="303">
        <v>284</v>
      </c>
      <c r="L37" s="303">
        <v>401</v>
      </c>
      <c r="M37" s="304">
        <f>SUM(I37:L37)</f>
        <v>317</v>
      </c>
      <c r="N37" s="303">
        <v>263</v>
      </c>
      <c r="O37" s="306">
        <f>N37</f>
        <v>263</v>
      </c>
      <c r="P37" s="306">
        <f>O37</f>
        <v>263</v>
      </c>
      <c r="Q37" s="306">
        <f>P37</f>
        <v>263</v>
      </c>
      <c r="R37" s="304">
        <f>SUM(N37:Q37)</f>
        <v>1052</v>
      </c>
      <c r="S37" s="306">
        <f>Q37</f>
        <v>263</v>
      </c>
      <c r="T37" s="306">
        <f>S37</f>
        <v>263</v>
      </c>
      <c r="U37" s="306">
        <f>T37</f>
        <v>263</v>
      </c>
      <c r="V37" s="306">
        <f>U37</f>
        <v>263</v>
      </c>
      <c r="W37" s="304">
        <f>SUM(S37:V37)</f>
        <v>1052</v>
      </c>
    </row>
    <row r="38" spans="2:25" s="101" customFormat="1" ht="14.55" hidden="1" customHeight="1" outlineLevel="1" x14ac:dyDescent="0.3">
      <c r="B38" s="165" t="s">
        <v>109</v>
      </c>
      <c r="C38" s="166"/>
      <c r="D38" s="123">
        <v>2.5999999999999999E-2</v>
      </c>
      <c r="E38" s="123">
        <v>5.8000000000000003E-2</v>
      </c>
      <c r="F38" s="123">
        <v>5.1999999999999998E-2</v>
      </c>
      <c r="G38" s="123"/>
      <c r="H38" s="152">
        <v>5.2999999999999999E-2</v>
      </c>
      <c r="I38" s="123">
        <v>6.0999999999999999E-2</v>
      </c>
      <c r="J38" s="123">
        <v>4.2000000000000003E-2</v>
      </c>
      <c r="K38" s="123">
        <v>5.0999999999999997E-2</v>
      </c>
      <c r="L38" s="123"/>
      <c r="M38" s="152">
        <v>5.6000000000000001E-2</v>
      </c>
      <c r="N38" s="123">
        <v>6.5000000000000002E-2</v>
      </c>
      <c r="O38" s="123"/>
      <c r="P38" s="74"/>
      <c r="Q38" s="74"/>
      <c r="R38" s="154">
        <v>4.9000000000000002E-2</v>
      </c>
      <c r="S38" s="74"/>
      <c r="T38" s="74"/>
      <c r="U38" s="74"/>
      <c r="V38" s="74"/>
      <c r="W38" s="75"/>
    </row>
    <row r="39" spans="2:25" s="100" customFormat="1" ht="14.55" hidden="1" customHeight="1" outlineLevel="1" x14ac:dyDescent="0.3">
      <c r="B39" s="230" t="s">
        <v>186</v>
      </c>
      <c r="C39" s="231"/>
      <c r="D39" s="232">
        <v>4.2000000000000003E-2</v>
      </c>
      <c r="E39" s="232">
        <v>4.2000000000000003E-2</v>
      </c>
      <c r="F39" s="232">
        <v>4.3999999999999997E-2</v>
      </c>
      <c r="G39" s="232"/>
      <c r="H39" s="233">
        <v>4.4999999999999998E-2</v>
      </c>
      <c r="I39" s="232">
        <v>5.0999999999999997E-2</v>
      </c>
      <c r="J39" s="232">
        <v>0.05</v>
      </c>
      <c r="K39" s="232">
        <v>5.0999999999999997E-2</v>
      </c>
      <c r="L39" s="232"/>
      <c r="M39" s="233">
        <v>5.2999999999999999E-2</v>
      </c>
      <c r="N39" s="232">
        <v>5.7000000000000002E-2</v>
      </c>
      <c r="O39" s="232"/>
      <c r="P39" s="234"/>
      <c r="Q39" s="234"/>
      <c r="R39" s="235"/>
      <c r="S39" s="234"/>
      <c r="T39" s="234"/>
      <c r="U39" s="234"/>
      <c r="V39" s="234"/>
      <c r="W39" s="235"/>
    </row>
    <row r="40" spans="2:25" s="50" customFormat="1" collapsed="1" x14ac:dyDescent="0.3">
      <c r="B40" s="163" t="s">
        <v>35</v>
      </c>
      <c r="C40" s="164"/>
      <c r="D40" s="222"/>
      <c r="E40" s="222"/>
      <c r="F40" s="222"/>
      <c r="G40" s="222"/>
      <c r="H40" s="223"/>
      <c r="I40" s="224"/>
      <c r="J40" s="224"/>
      <c r="K40" s="224"/>
      <c r="L40" s="224"/>
      <c r="M40" s="223"/>
      <c r="N40" s="224"/>
      <c r="O40" s="224"/>
      <c r="P40" s="224"/>
      <c r="Q40" s="224"/>
      <c r="R40" s="223"/>
      <c r="S40" s="224"/>
      <c r="T40" s="224"/>
      <c r="U40" s="224"/>
      <c r="V40" s="224"/>
      <c r="W40" s="223"/>
      <c r="Y40" s="64"/>
    </row>
    <row r="41" spans="2:25" s="50" customFormat="1" hidden="1" outlineLevel="1" x14ac:dyDescent="0.3">
      <c r="B41" s="66" t="s">
        <v>145</v>
      </c>
      <c r="C41" s="67"/>
      <c r="D41" s="43"/>
      <c r="E41" s="43">
        <f>AVERAGE(D14:E14)</f>
        <v>414.5</v>
      </c>
      <c r="F41" s="43">
        <f t="shared" ref="F41:G41" si="30">AVERAGE(E14:F14)</f>
        <v>415</v>
      </c>
      <c r="G41" s="43">
        <f t="shared" si="30"/>
        <v>411</v>
      </c>
      <c r="H41" s="31"/>
      <c r="I41" s="43">
        <f>AVERAGE(I14,G14)</f>
        <v>413</v>
      </c>
      <c r="J41" s="43">
        <f>AVERAGE(I14:J14)</f>
        <v>419</v>
      </c>
      <c r="K41" s="43">
        <f t="shared" ref="K41:L41" si="31">AVERAGE(J14:K14)</f>
        <v>421</v>
      </c>
      <c r="L41" s="43">
        <f t="shared" si="31"/>
        <v>426</v>
      </c>
      <c r="M41" s="31"/>
      <c r="N41" s="43">
        <f>AVERAGE(N14,L14)</f>
        <v>431</v>
      </c>
      <c r="O41" s="116">
        <f>N41</f>
        <v>431</v>
      </c>
      <c r="P41" s="116">
        <f>O41</f>
        <v>431</v>
      </c>
      <c r="Q41" s="116">
        <f>P41</f>
        <v>431</v>
      </c>
      <c r="R41" s="31"/>
      <c r="S41" s="116">
        <f>Q41</f>
        <v>431</v>
      </c>
      <c r="T41" s="116">
        <f>S41</f>
        <v>431</v>
      </c>
      <c r="U41" s="116">
        <f>T41</f>
        <v>431</v>
      </c>
      <c r="V41" s="116">
        <f>U41</f>
        <v>431</v>
      </c>
      <c r="W41" s="31"/>
      <c r="Y41" s="64"/>
    </row>
    <row r="42" spans="2:25" s="50" customFormat="1" hidden="1" outlineLevel="1" x14ac:dyDescent="0.3">
      <c r="B42" s="66" t="s">
        <v>146</v>
      </c>
      <c r="C42" s="67"/>
      <c r="D42" s="30">
        <f>D15/D11</f>
        <v>0.21303398181541119</v>
      </c>
      <c r="E42" s="30">
        <f>E15/E11</f>
        <v>0.18050480870186048</v>
      </c>
      <c r="F42" s="30">
        <f>F15/F11</f>
        <v>0.20554689023201403</v>
      </c>
      <c r="G42" s="30">
        <f>G15/G11</f>
        <v>0.21526980482204364</v>
      </c>
      <c r="H42" s="40">
        <f>H15/H11</f>
        <v>0.20239011253246128</v>
      </c>
      <c r="I42" s="30">
        <f>I15/I11</f>
        <v>0.19927241395816381</v>
      </c>
      <c r="J42" s="30">
        <f>J15/J11</f>
        <v>0.17314430706029241</v>
      </c>
      <c r="K42" s="30">
        <f>K15/K11</f>
        <v>0.19070534854942939</v>
      </c>
      <c r="L42" s="30">
        <f>L15/L11</f>
        <v>0.19914204003813155</v>
      </c>
      <c r="M42" s="40">
        <f>M15/M11</f>
        <v>0.18980105965950814</v>
      </c>
      <c r="N42" s="30">
        <f>N15/N11</f>
        <v>0.18807661892628064</v>
      </c>
      <c r="O42" s="32">
        <v>0.17299999999999999</v>
      </c>
      <c r="P42" s="32">
        <v>0.1835</v>
      </c>
      <c r="Q42" s="32">
        <v>0.19350000000000001</v>
      </c>
      <c r="R42" s="40">
        <v>0.2</v>
      </c>
      <c r="S42" s="32">
        <v>0.183</v>
      </c>
      <c r="T42" s="32">
        <v>0.18</v>
      </c>
      <c r="U42" s="32">
        <v>0.19</v>
      </c>
      <c r="V42" s="32">
        <v>0.2</v>
      </c>
      <c r="W42" s="40">
        <f>W15/W11</f>
        <v>0.18797900292068337</v>
      </c>
      <c r="Y42" s="64"/>
    </row>
    <row r="43" spans="2:25" s="50" customFormat="1" hidden="1" outlineLevel="1" x14ac:dyDescent="0.3">
      <c r="B43" s="66" t="s">
        <v>147</v>
      </c>
      <c r="C43" s="67"/>
      <c r="D43" s="77"/>
      <c r="E43" s="43">
        <f>AVERAGE(E18,D18)</f>
        <v>-58.5</v>
      </c>
      <c r="F43" s="43">
        <f>AVERAGE(F18,E18)</f>
        <v>-61</v>
      </c>
      <c r="G43" s="43">
        <f>AVERAGE(G18,F18)</f>
        <v>-110</v>
      </c>
      <c r="H43" s="31"/>
      <c r="I43" s="43">
        <f>AVERAGE(I18,G18)</f>
        <v>-59.5</v>
      </c>
      <c r="J43" s="43">
        <f>AVERAGE(J18,I18)</f>
        <v>-76.5</v>
      </c>
      <c r="K43" s="43">
        <f>AVERAGE(K18,J18)</f>
        <v>-78</v>
      </c>
      <c r="L43" s="43">
        <f>AVERAGE(L18,K18)</f>
        <v>-6.5</v>
      </c>
      <c r="M43" s="31"/>
      <c r="N43" s="43">
        <f>AVERAGE(N18,L18)</f>
        <v>-6.5</v>
      </c>
      <c r="O43" s="116">
        <f>N43</f>
        <v>-6.5</v>
      </c>
      <c r="P43" s="116">
        <f t="shared" ref="P43:Q43" si="32">O43</f>
        <v>-6.5</v>
      </c>
      <c r="Q43" s="116">
        <f t="shared" si="32"/>
        <v>-6.5</v>
      </c>
      <c r="R43" s="31"/>
      <c r="S43" s="116">
        <f>Q43</f>
        <v>-6.5</v>
      </c>
      <c r="T43" s="116">
        <f>S43</f>
        <v>-6.5</v>
      </c>
      <c r="U43" s="116">
        <f t="shared" ref="U43:V43" si="33">T43</f>
        <v>-6.5</v>
      </c>
      <c r="V43" s="116">
        <f t="shared" si="33"/>
        <v>-6.5</v>
      </c>
      <c r="W43" s="31"/>
      <c r="X43" s="78"/>
      <c r="Y43" s="243"/>
    </row>
    <row r="44" spans="2:25" s="50" customFormat="1" hidden="1" outlineLevel="1" x14ac:dyDescent="0.3">
      <c r="B44" s="133" t="s">
        <v>31</v>
      </c>
      <c r="C44" s="134"/>
      <c r="D44" s="77"/>
      <c r="E44" s="43">
        <f>AVERAGE(E19,D19)</f>
        <v>199.5</v>
      </c>
      <c r="F44" s="43">
        <f>AVERAGE(F19,E19)</f>
        <v>213</v>
      </c>
      <c r="G44" s="43">
        <f>AVERAGE(G19,F19)</f>
        <v>215.5</v>
      </c>
      <c r="H44" s="31"/>
      <c r="I44" s="43">
        <f>AVERAGE(I19,G19)</f>
        <v>205</v>
      </c>
      <c r="J44" s="43">
        <f>AVERAGE(J19,I19)</f>
        <v>215</v>
      </c>
      <c r="K44" s="43">
        <f>AVERAGE(K19,J19)</f>
        <v>240</v>
      </c>
      <c r="L44" s="43">
        <f>AVERAGE(L19,K19)</f>
        <v>244.5</v>
      </c>
      <c r="M44" s="31"/>
      <c r="N44" s="43">
        <f>AVERAGE(N19,L19)</f>
        <v>243</v>
      </c>
      <c r="O44" s="116">
        <f>N44</f>
        <v>243</v>
      </c>
      <c r="P44" s="116">
        <f t="shared" ref="P44" si="34">O44</f>
        <v>243</v>
      </c>
      <c r="Q44" s="116">
        <f t="shared" ref="Q44" si="35">P44</f>
        <v>243</v>
      </c>
      <c r="R44" s="31"/>
      <c r="S44" s="116">
        <f>Q44</f>
        <v>243</v>
      </c>
      <c r="T44" s="116">
        <f>S44</f>
        <v>243</v>
      </c>
      <c r="U44" s="116">
        <f t="shared" ref="U44" si="36">T44</f>
        <v>243</v>
      </c>
      <c r="V44" s="116">
        <f t="shared" ref="V44" si="37">U44</f>
        <v>243</v>
      </c>
      <c r="W44" s="31"/>
      <c r="X44" s="78"/>
      <c r="Y44" s="243"/>
    </row>
    <row r="45" spans="2:25" s="46" customFormat="1" hidden="1" outlineLevel="1" x14ac:dyDescent="0.3">
      <c r="B45" s="157" t="s">
        <v>24</v>
      </c>
      <c r="C45" s="158"/>
      <c r="D45" s="30">
        <f>D22/D21</f>
        <v>0.36916742909423605</v>
      </c>
      <c r="E45" s="30">
        <f>E22/E21</f>
        <v>0.37058642922935214</v>
      </c>
      <c r="F45" s="30">
        <f>F22/F21</f>
        <v>0.37008196721311476</v>
      </c>
      <c r="G45" s="30">
        <f>G22/G21</f>
        <v>0.34113712374581939</v>
      </c>
      <c r="H45" s="40">
        <f>H22/H21</f>
        <v>0.36397353648757019</v>
      </c>
      <c r="I45" s="30">
        <f>I22/I21</f>
        <v>0.34317803660565721</v>
      </c>
      <c r="J45" s="30">
        <f>J22/J21</f>
        <v>0.37300028066236318</v>
      </c>
      <c r="K45" s="30">
        <f>K22/K21</f>
        <v>0.37066763954761034</v>
      </c>
      <c r="L45" s="30">
        <f>L22/L21</f>
        <v>0.36402939904885429</v>
      </c>
      <c r="M45" s="40">
        <f>M22/M21</f>
        <v>0.36403230196896835</v>
      </c>
      <c r="N45" s="30">
        <f>N22/N21</f>
        <v>0.36514084507042255</v>
      </c>
      <c r="O45" s="236">
        <v>0.37</v>
      </c>
      <c r="P45" s="32">
        <v>0.37</v>
      </c>
      <c r="Q45" s="32">
        <v>0.37</v>
      </c>
      <c r="R45" s="40">
        <v>0.37</v>
      </c>
      <c r="S45" s="32">
        <v>0.37</v>
      </c>
      <c r="T45" s="32">
        <v>0.37</v>
      </c>
      <c r="U45" s="32">
        <v>0.37</v>
      </c>
      <c r="V45" s="32">
        <v>0.37</v>
      </c>
      <c r="W45" s="40">
        <f>W22/W21</f>
        <v>0.37</v>
      </c>
      <c r="Y45" s="64"/>
    </row>
    <row r="46" spans="2:25" s="46" customFormat="1" hidden="1" outlineLevel="1" x14ac:dyDescent="0.3">
      <c r="B46" s="157" t="s">
        <v>23</v>
      </c>
      <c r="C46" s="158"/>
      <c r="D46" s="30">
        <f>D13/D11</f>
        <v>0.34972316757250976</v>
      </c>
      <c r="E46" s="30">
        <f>E13/E11</f>
        <v>0.34274075007349547</v>
      </c>
      <c r="F46" s="30">
        <f>F13/F11</f>
        <v>0.35021446675765255</v>
      </c>
      <c r="G46" s="30">
        <f>G13/G11</f>
        <v>0.35085064189541804</v>
      </c>
      <c r="H46" s="40">
        <f>H13/H11</f>
        <v>0.3481052226603828</v>
      </c>
      <c r="I46" s="30">
        <f>I13/I11</f>
        <v>0.34364080225934612</v>
      </c>
      <c r="J46" s="30">
        <f>J13/J11</f>
        <v>0.33690442627572598</v>
      </c>
      <c r="K46" s="30">
        <f>K13/K11</f>
        <v>0.34671616481048628</v>
      </c>
      <c r="L46" s="30">
        <f>L13/L11</f>
        <v>0.34108674928503335</v>
      </c>
      <c r="M46" s="40">
        <f>M13/M11</f>
        <v>0.34190399801172627</v>
      </c>
      <c r="N46" s="30">
        <f>N13/N11</f>
        <v>0.3422809946401898</v>
      </c>
      <c r="O46" s="32">
        <v>0.34499999999999997</v>
      </c>
      <c r="P46" s="32">
        <v>0.34699999999999998</v>
      </c>
      <c r="Q46" s="32">
        <v>0.34200000000000003</v>
      </c>
      <c r="R46" s="40">
        <v>0.35</v>
      </c>
      <c r="S46" s="32">
        <v>0.34399999999999997</v>
      </c>
      <c r="T46" s="32">
        <v>0.34200000000000003</v>
      </c>
      <c r="U46" s="32">
        <v>0.34200000000000003</v>
      </c>
      <c r="V46" s="32">
        <v>0.34200000000000003</v>
      </c>
      <c r="W46" s="40">
        <f>W13/W11</f>
        <v>0.34248201196252126</v>
      </c>
      <c r="Y46" s="64"/>
    </row>
    <row r="47" spans="2:25" s="50" customFormat="1" hidden="1" outlineLevel="1" x14ac:dyDescent="0.3">
      <c r="B47" s="225" t="s">
        <v>26</v>
      </c>
      <c r="C47" s="226"/>
      <c r="D47" s="48">
        <f>D17/D11</f>
        <v>0.11566008025600651</v>
      </c>
      <c r="E47" s="48">
        <f>E17/E11</f>
        <v>0.14480702196463818</v>
      </c>
      <c r="F47" s="48">
        <f>F17/F11</f>
        <v>0.12443946188340807</v>
      </c>
      <c r="G47" s="48">
        <f>G17/G11</f>
        <v>0.11434088299759941</v>
      </c>
      <c r="H47" s="76">
        <f>H17/H11</f>
        <v>0.12586563431759162</v>
      </c>
      <c r="I47" s="48">
        <f>I17/I11</f>
        <v>0.12431190464793451</v>
      </c>
      <c r="J47" s="48">
        <f>J17/J11</f>
        <v>0.14688469128841275</v>
      </c>
      <c r="K47" s="48">
        <f>K17/K11</f>
        <v>0.13662404326504424</v>
      </c>
      <c r="L47" s="48">
        <f>L17/L11</f>
        <v>0.12149666348903718</v>
      </c>
      <c r="M47" s="76">
        <f>M17/M11</f>
        <v>0.13301099199042013</v>
      </c>
      <c r="N47" s="48">
        <f>N17/N11</f>
        <v>0.13518144275546964</v>
      </c>
      <c r="O47" s="48">
        <f>O17/O11</f>
        <v>0.15571971731736073</v>
      </c>
      <c r="P47" s="48">
        <f>P17/P11</f>
        <v>0.1448339107838891</v>
      </c>
      <c r="Q47" s="48">
        <f>Q17/Q11</f>
        <v>0.12890909090909097</v>
      </c>
      <c r="R47" s="76">
        <f>R17/R11</f>
        <v>0.14184567578224871</v>
      </c>
      <c r="S47" s="48">
        <f>S17/S11</f>
        <v>0.14281434599156112</v>
      </c>
      <c r="T47" s="48">
        <f>T17/T11</f>
        <v>0.14602812231576112</v>
      </c>
      <c r="U47" s="48">
        <f>U17/U11</f>
        <v>0.13400567116671663</v>
      </c>
      <c r="V47" s="48">
        <f>V17/V11</f>
        <v>0.12381502702326085</v>
      </c>
      <c r="W47" s="76">
        <f>W17/W11</f>
        <v>0.13697160348515838</v>
      </c>
      <c r="Y47" s="64"/>
    </row>
    <row r="48" spans="2:25" s="50" customFormat="1" ht="15.6" collapsed="1" x14ac:dyDescent="0.3">
      <c r="B48" s="183" t="s">
        <v>155</v>
      </c>
      <c r="C48" s="184"/>
      <c r="D48" s="241" t="s">
        <v>153</v>
      </c>
      <c r="E48" s="241" t="s">
        <v>153</v>
      </c>
      <c r="F48" s="241" t="s">
        <v>153</v>
      </c>
      <c r="G48" s="241" t="s">
        <v>153</v>
      </c>
      <c r="H48" s="53"/>
      <c r="I48" s="241" t="s">
        <v>153</v>
      </c>
      <c r="J48" s="241" t="s">
        <v>153</v>
      </c>
      <c r="K48" s="241" t="s">
        <v>153</v>
      </c>
      <c r="L48" s="241" t="s">
        <v>153</v>
      </c>
      <c r="M48" s="53"/>
      <c r="N48" s="241" t="s">
        <v>153</v>
      </c>
      <c r="O48" s="241" t="s">
        <v>153</v>
      </c>
      <c r="P48" s="241" t="s">
        <v>153</v>
      </c>
      <c r="Q48" s="241" t="s">
        <v>153</v>
      </c>
      <c r="R48" s="53"/>
      <c r="S48" s="241" t="s">
        <v>153</v>
      </c>
      <c r="T48" s="241" t="s">
        <v>153</v>
      </c>
      <c r="U48" s="241" t="s">
        <v>153</v>
      </c>
      <c r="V48" s="241" t="s">
        <v>153</v>
      </c>
      <c r="W48" s="53"/>
      <c r="Y48" s="64"/>
    </row>
    <row r="49" spans="2:25" s="51" customFormat="1" ht="15" hidden="1" customHeight="1" outlineLevel="1" x14ac:dyDescent="0.3">
      <c r="B49" s="68" t="s">
        <v>149</v>
      </c>
      <c r="C49" s="69"/>
      <c r="D49" s="43">
        <v>5538</v>
      </c>
      <c r="E49" s="43">
        <v>5793</v>
      </c>
      <c r="F49" s="43">
        <v>5979</v>
      </c>
      <c r="G49" s="43">
        <v>6345</v>
      </c>
      <c r="H49" s="31"/>
      <c r="I49" s="43">
        <f>I23+G23+F23+E23</f>
        <v>6545</v>
      </c>
      <c r="J49" s="43">
        <f>J23+I23+G23+F23</f>
        <v>6729</v>
      </c>
      <c r="K49" s="43">
        <f>K23+J23+I23+G23</f>
        <v>6917</v>
      </c>
      <c r="L49" s="43">
        <f>L23+K23+J23+I23</f>
        <v>7009</v>
      </c>
      <c r="M49" s="31"/>
      <c r="N49" s="43">
        <f>N23+L23+K23+J23</f>
        <v>7233</v>
      </c>
      <c r="O49" s="43">
        <f>O23+N23+L23+K23</f>
        <v>7447.1696603084865</v>
      </c>
      <c r="P49" s="43">
        <f>P23+O23+N23+L23</f>
        <v>7680.0301103084857</v>
      </c>
      <c r="Q49" s="43">
        <f>Q23+P23+O23+N23</f>
        <v>7846.7151103084871</v>
      </c>
      <c r="R49" s="31"/>
      <c r="S49" s="43">
        <f>S23+Q23+P23+O23</f>
        <v>8027.0811103084852</v>
      </c>
      <c r="T49" s="43">
        <f>T23+S23+Q23+P23</f>
        <v>7912.4683976351998</v>
      </c>
      <c r="U49" s="43">
        <f>U23+T23+S23+Q23</f>
        <v>7827.7255937371028</v>
      </c>
      <c r="V49" s="43">
        <f>V23+U23+T23+S23</f>
        <v>7889.7969958221902</v>
      </c>
      <c r="W49" s="31"/>
      <c r="Y49" s="100"/>
    </row>
    <row r="50" spans="2:25" s="51" customFormat="1" ht="15" hidden="1" customHeight="1" outlineLevel="1" x14ac:dyDescent="0.3">
      <c r="B50" s="68" t="s">
        <v>37</v>
      </c>
      <c r="C50" s="69"/>
      <c r="D50" s="43">
        <v>629</v>
      </c>
      <c r="E50" s="43">
        <v>648</v>
      </c>
      <c r="F50" s="43">
        <v>573</v>
      </c>
      <c r="G50" s="43">
        <v>493</v>
      </c>
      <c r="H50" s="31"/>
      <c r="I50" s="43">
        <f>I20+G20+F20+E20</f>
        <v>595</v>
      </c>
      <c r="J50" s="43">
        <f>J20+I20+G20+F20</f>
        <v>488</v>
      </c>
      <c r="K50" s="43">
        <f>K20+J20+I20+G20</f>
        <v>615</v>
      </c>
      <c r="L50" s="43">
        <f>L20+K20+J20+I20</f>
        <v>753</v>
      </c>
      <c r="M50" s="31"/>
      <c r="N50" s="43">
        <f>N20+L20+K20+J20</f>
        <v>797</v>
      </c>
      <c r="O50" s="43">
        <f>O20+N20+L20+K20</f>
        <v>949.5</v>
      </c>
      <c r="P50" s="43">
        <f>P20+O20+N20+L20</f>
        <v>946</v>
      </c>
      <c r="Q50" s="43">
        <f>Q20+P20+O20+N20</f>
        <v>946.5</v>
      </c>
      <c r="R50" s="31"/>
      <c r="S50" s="43">
        <f>S20+Q20+P20+O20</f>
        <v>946</v>
      </c>
      <c r="T50" s="43">
        <f>T20+S20+Q20+P20</f>
        <v>946</v>
      </c>
      <c r="U50" s="43">
        <f>U20+T20+S20+Q20</f>
        <v>946</v>
      </c>
      <c r="V50" s="43">
        <f>V20+U20+T20+S20</f>
        <v>946</v>
      </c>
      <c r="W50" s="31"/>
      <c r="Y50" s="100"/>
    </row>
    <row r="51" spans="2:25" s="51" customFormat="1" ht="15" hidden="1" customHeight="1" outlineLevel="1" x14ac:dyDescent="0.3">
      <c r="B51" s="68" t="s">
        <v>150</v>
      </c>
      <c r="C51" s="69"/>
      <c r="D51" s="43">
        <v>3182</v>
      </c>
      <c r="E51" s="43">
        <v>3338</v>
      </c>
      <c r="F51" s="43">
        <v>3487</v>
      </c>
      <c r="G51" s="43">
        <v>3631</v>
      </c>
      <c r="H51" s="31"/>
      <c r="I51" s="43">
        <f>I22+G22+F22+E22</f>
        <v>3649</v>
      </c>
      <c r="J51" s="43">
        <v>3771</v>
      </c>
      <c r="K51" s="43">
        <f>K22+J22+I22+G22</f>
        <v>3884</v>
      </c>
      <c r="L51" s="43">
        <f>L22+K22+J22+I22</f>
        <v>4012</v>
      </c>
      <c r="M51" s="31"/>
      <c r="N51" s="43">
        <f>N22+L22+K22+J22</f>
        <v>4224</v>
      </c>
      <c r="O51" s="43">
        <f>O22+N22+L22+K22</f>
        <v>4332.8139274827618</v>
      </c>
      <c r="P51" s="43">
        <f>P22+O22+N22+L22</f>
        <v>4466.6684774827618</v>
      </c>
      <c r="Q51" s="43">
        <f>Q22+P22+O22+N22</f>
        <v>4586.4834774827614</v>
      </c>
      <c r="R51" s="31"/>
      <c r="S51" s="43">
        <f>S22+Q22+P22+O22</f>
        <v>4714.3174774827612</v>
      </c>
      <c r="T51" s="43">
        <f>T22+S22+Q22+P22</f>
        <v>4647.0052494048005</v>
      </c>
      <c r="U51" s="43">
        <f>U22+T22+S22+Q22</f>
        <v>4597.2356661630602</v>
      </c>
      <c r="V51" s="43">
        <f>V22+U22+T22+S22</f>
        <v>4633.6902991336674</v>
      </c>
      <c r="W51" s="31"/>
      <c r="Y51" s="100"/>
    </row>
    <row r="52" spans="2:25" s="51" customFormat="1" ht="15" hidden="1" customHeight="1" outlineLevel="1" x14ac:dyDescent="0.3">
      <c r="B52" s="68" t="s">
        <v>151</v>
      </c>
      <c r="C52" s="69"/>
      <c r="D52" s="43">
        <v>1769</v>
      </c>
      <c r="E52" s="43">
        <v>1776</v>
      </c>
      <c r="F52" s="43">
        <v>1785</v>
      </c>
      <c r="G52" s="43">
        <v>1786</v>
      </c>
      <c r="H52" s="31"/>
      <c r="I52" s="43">
        <v>1793</v>
      </c>
      <c r="J52" s="43">
        <v>1805</v>
      </c>
      <c r="K52" s="43">
        <v>1825</v>
      </c>
      <c r="L52" s="43">
        <v>1863</v>
      </c>
      <c r="M52" s="31"/>
      <c r="N52" s="43">
        <v>1895</v>
      </c>
      <c r="O52" s="43">
        <f>O14+N14+L14+K14</f>
        <v>1716</v>
      </c>
      <c r="P52" s="43">
        <f>P14+O14+N14+L14</f>
        <v>1724</v>
      </c>
      <c r="Q52" s="43">
        <f>Q14+P14+O14+N14</f>
        <v>1726</v>
      </c>
      <c r="R52" s="31"/>
      <c r="S52" s="43">
        <f>S14+Q14+P14+O14</f>
        <v>1724</v>
      </c>
      <c r="T52" s="43">
        <f>T14+S14+Q14+P14</f>
        <v>1724</v>
      </c>
      <c r="U52" s="43">
        <f>U14+T14+S14+Q14</f>
        <v>1724</v>
      </c>
      <c r="V52" s="43">
        <f>V14+U14+T14+S14</f>
        <v>1724</v>
      </c>
      <c r="W52" s="31"/>
      <c r="Y52" s="100"/>
    </row>
    <row r="53" spans="2:25" s="51" customFormat="1" ht="15" hidden="1" customHeight="1" outlineLevel="1" x14ac:dyDescent="0.45">
      <c r="B53" s="125" t="s">
        <v>152</v>
      </c>
      <c r="C53" s="126"/>
      <c r="D53" s="237">
        <v>866</v>
      </c>
      <c r="E53" s="237">
        <v>876</v>
      </c>
      <c r="F53" s="237">
        <v>885</v>
      </c>
      <c r="G53" s="237">
        <v>895</v>
      </c>
      <c r="H53" s="31"/>
      <c r="I53" s="237">
        <v>895</v>
      </c>
      <c r="J53" s="237">
        <v>894</v>
      </c>
      <c r="K53" s="237">
        <v>894</v>
      </c>
      <c r="L53" s="237">
        <v>893</v>
      </c>
      <c r="M53" s="31"/>
      <c r="N53" s="237">
        <v>887</v>
      </c>
      <c r="O53" s="240">
        <f>N53</f>
        <v>887</v>
      </c>
      <c r="P53" s="240">
        <f>O53</f>
        <v>887</v>
      </c>
      <c r="Q53" s="240">
        <f>P53</f>
        <v>887</v>
      </c>
      <c r="R53" s="31"/>
      <c r="S53" s="240">
        <f>Q53</f>
        <v>887</v>
      </c>
      <c r="T53" s="240">
        <f>S53</f>
        <v>887</v>
      </c>
      <c r="U53" s="240">
        <f>T53</f>
        <v>887</v>
      </c>
      <c r="V53" s="240">
        <f>U53</f>
        <v>887</v>
      </c>
      <c r="W53" s="31"/>
      <c r="Y53" s="100"/>
    </row>
    <row r="54" spans="2:25" s="50" customFormat="1" ht="15" hidden="1" customHeight="1" outlineLevel="1" x14ac:dyDescent="0.3">
      <c r="B54" s="127" t="s">
        <v>154</v>
      </c>
      <c r="C54" s="128"/>
      <c r="D54" s="65">
        <f t="shared" ref="D54:G54" si="38">SUM(D49:D53)</f>
        <v>11984</v>
      </c>
      <c r="E54" s="65">
        <f t="shared" si="38"/>
        <v>12431</v>
      </c>
      <c r="F54" s="65">
        <f t="shared" si="38"/>
        <v>12709</v>
      </c>
      <c r="G54" s="65">
        <f t="shared" si="38"/>
        <v>13150</v>
      </c>
      <c r="H54" s="239"/>
      <c r="I54" s="65">
        <f t="shared" ref="I54:K54" si="39">SUM(I49:I53)</f>
        <v>13477</v>
      </c>
      <c r="J54" s="65">
        <f t="shared" si="39"/>
        <v>13687</v>
      </c>
      <c r="K54" s="65">
        <f t="shared" si="39"/>
        <v>14135</v>
      </c>
      <c r="L54" s="65">
        <f>SUM(L49:L53)</f>
        <v>14530</v>
      </c>
      <c r="M54" s="239"/>
      <c r="N54" s="65">
        <f t="shared" ref="N54:Q54" si="40">SUM(N49:N53)</f>
        <v>15036</v>
      </c>
      <c r="O54" s="65">
        <f t="shared" si="40"/>
        <v>15332.483587791248</v>
      </c>
      <c r="P54" s="65">
        <f t="shared" si="40"/>
        <v>15703.698587791248</v>
      </c>
      <c r="Q54" s="65">
        <f t="shared" si="40"/>
        <v>15992.698587791248</v>
      </c>
      <c r="R54" s="239"/>
      <c r="S54" s="65">
        <f t="shared" ref="S54:V54" si="41">SUM(S49:S53)</f>
        <v>16298.398587791246</v>
      </c>
      <c r="T54" s="65">
        <f t="shared" si="41"/>
        <v>16116.473647039998</v>
      </c>
      <c r="U54" s="65">
        <f t="shared" si="41"/>
        <v>15981.961259900163</v>
      </c>
      <c r="V54" s="65">
        <f t="shared" si="41"/>
        <v>16080.487294955859</v>
      </c>
      <c r="W54" s="239"/>
      <c r="Y54" s="64"/>
    </row>
    <row r="55" spans="2:25" s="51" customFormat="1" ht="15" hidden="1" customHeight="1" outlineLevel="1" x14ac:dyDescent="0.3">
      <c r="B55" s="125" t="s">
        <v>156</v>
      </c>
      <c r="C55" s="126"/>
      <c r="D55" s="43">
        <f t="shared" ref="D55:G55" si="42">D93</f>
        <v>14707</v>
      </c>
      <c r="E55" s="43">
        <f t="shared" si="42"/>
        <v>16702</v>
      </c>
      <c r="F55" s="43">
        <f t="shared" si="42"/>
        <v>16693</v>
      </c>
      <c r="G55" s="43">
        <f t="shared" si="42"/>
        <v>16869</v>
      </c>
      <c r="H55" s="31"/>
      <c r="I55" s="43">
        <v>13818</v>
      </c>
      <c r="J55" s="43">
        <f>J93</f>
        <v>16318</v>
      </c>
      <c r="K55" s="43">
        <f>K93</f>
        <v>17815</v>
      </c>
      <c r="L55" s="43">
        <f>L93</f>
        <v>20888</v>
      </c>
      <c r="M55" s="31"/>
      <c r="N55" s="43">
        <f>N93</f>
        <v>20904</v>
      </c>
      <c r="O55" s="116">
        <f>N55</f>
        <v>20904</v>
      </c>
      <c r="P55" s="116">
        <f>O55</f>
        <v>20904</v>
      </c>
      <c r="Q55" s="116">
        <f>P55</f>
        <v>20904</v>
      </c>
      <c r="R55" s="31"/>
      <c r="S55" s="116">
        <f>Q55</f>
        <v>20904</v>
      </c>
      <c r="T55" s="116">
        <f>S55</f>
        <v>20904</v>
      </c>
      <c r="U55" s="116">
        <f>T55</f>
        <v>20904</v>
      </c>
      <c r="V55" s="116">
        <f>U55</f>
        <v>20904</v>
      </c>
      <c r="W55" s="31"/>
      <c r="Y55" s="100"/>
    </row>
    <row r="56" spans="2:25" s="51" customFormat="1" ht="15" hidden="1" customHeight="1" outlineLevel="1" x14ac:dyDescent="0.3">
      <c r="B56" s="125" t="s">
        <v>115</v>
      </c>
      <c r="C56" s="126"/>
      <c r="D56" s="43">
        <f t="shared" ref="D56:G56" si="43">D89</f>
        <v>34</v>
      </c>
      <c r="E56" s="43">
        <f t="shared" si="43"/>
        <v>34</v>
      </c>
      <c r="F56" s="43">
        <f t="shared" si="43"/>
        <v>34</v>
      </c>
      <c r="G56" s="43">
        <f t="shared" si="43"/>
        <v>38</v>
      </c>
      <c r="H56" s="31"/>
      <c r="I56" s="43">
        <v>3054</v>
      </c>
      <c r="J56" s="43">
        <f>J89</f>
        <v>3057</v>
      </c>
      <c r="K56" s="43">
        <f>K89</f>
        <v>3047</v>
      </c>
      <c r="L56" s="43">
        <f>L89</f>
        <v>77</v>
      </c>
      <c r="M56" s="31"/>
      <c r="N56" s="43">
        <f>N89</f>
        <v>44</v>
      </c>
      <c r="O56" s="116">
        <f t="shared" ref="O56:Q56" si="44">N56</f>
        <v>44</v>
      </c>
      <c r="P56" s="116">
        <f t="shared" si="44"/>
        <v>44</v>
      </c>
      <c r="Q56" s="116">
        <f t="shared" si="44"/>
        <v>44</v>
      </c>
      <c r="R56" s="31"/>
      <c r="S56" s="116">
        <f t="shared" ref="S56:S57" si="45">Q56</f>
        <v>44</v>
      </c>
      <c r="T56" s="116">
        <f t="shared" ref="T56:V56" si="46">S56</f>
        <v>44</v>
      </c>
      <c r="U56" s="116">
        <f t="shared" si="46"/>
        <v>44</v>
      </c>
      <c r="V56" s="116">
        <f t="shared" si="46"/>
        <v>44</v>
      </c>
      <c r="W56" s="31"/>
      <c r="Y56" s="100"/>
    </row>
    <row r="57" spans="2:25" s="51" customFormat="1" ht="15" hidden="1" customHeight="1" outlineLevel="1" x14ac:dyDescent="0.3">
      <c r="B57" s="125" t="s">
        <v>157</v>
      </c>
      <c r="C57" s="126"/>
      <c r="D57" s="43">
        <f>D90</f>
        <v>0</v>
      </c>
      <c r="E57" s="43">
        <f>E90</f>
        <v>0</v>
      </c>
      <c r="F57" s="43">
        <f>F90</f>
        <v>0</v>
      </c>
      <c r="G57" s="43">
        <v>290</v>
      </c>
      <c r="H57" s="31"/>
      <c r="I57" s="43">
        <f t="shared" ref="I57:K57" si="47">I90</f>
        <v>0</v>
      </c>
      <c r="J57" s="43">
        <f t="shared" si="47"/>
        <v>0</v>
      </c>
      <c r="K57" s="43">
        <f t="shared" si="47"/>
        <v>0</v>
      </c>
      <c r="L57" s="43">
        <f>L90</f>
        <v>350</v>
      </c>
      <c r="M57" s="31"/>
      <c r="N57" s="43">
        <f>N90</f>
        <v>0</v>
      </c>
      <c r="O57" s="116">
        <f t="shared" ref="O57:Q57" si="48">N57</f>
        <v>0</v>
      </c>
      <c r="P57" s="116">
        <f t="shared" si="48"/>
        <v>0</v>
      </c>
      <c r="Q57" s="116">
        <f t="shared" si="48"/>
        <v>0</v>
      </c>
      <c r="R57" s="31"/>
      <c r="S57" s="116">
        <f t="shared" si="45"/>
        <v>0</v>
      </c>
      <c r="T57" s="116">
        <f t="shared" ref="T57:V57" si="49">S57</f>
        <v>0</v>
      </c>
      <c r="U57" s="116">
        <f t="shared" si="49"/>
        <v>0</v>
      </c>
      <c r="V57" s="116">
        <f t="shared" si="49"/>
        <v>0</v>
      </c>
      <c r="W57" s="31"/>
      <c r="Y57" s="100"/>
    </row>
    <row r="58" spans="2:25" s="51" customFormat="1" ht="15" hidden="1" customHeight="1" outlineLevel="1" x14ac:dyDescent="0.45">
      <c r="B58" s="125" t="s">
        <v>158</v>
      </c>
      <c r="C58" s="126"/>
      <c r="D58" s="237">
        <v>6758</v>
      </c>
      <c r="E58" s="237">
        <v>6836</v>
      </c>
      <c r="F58" s="237">
        <v>6914</v>
      </c>
      <c r="G58" s="237">
        <v>6992</v>
      </c>
      <c r="H58" s="238"/>
      <c r="I58" s="237">
        <v>7016</v>
      </c>
      <c r="J58" s="237">
        <v>7012</v>
      </c>
      <c r="K58" s="237">
        <v>7008</v>
      </c>
      <c r="L58" s="237">
        <v>7004</v>
      </c>
      <c r="M58" s="238"/>
      <c r="N58" s="237">
        <v>6954</v>
      </c>
      <c r="O58" s="237">
        <f>8*O53</f>
        <v>7096</v>
      </c>
      <c r="P58" s="237">
        <f t="shared" ref="P58:Q58" si="50">8*P53</f>
        <v>7096</v>
      </c>
      <c r="Q58" s="237">
        <f t="shared" si="50"/>
        <v>7096</v>
      </c>
      <c r="R58" s="238"/>
      <c r="S58" s="237">
        <f t="shared" ref="S58:V58" si="51">8*S53</f>
        <v>7096</v>
      </c>
      <c r="T58" s="237">
        <f t="shared" si="51"/>
        <v>7096</v>
      </c>
      <c r="U58" s="237">
        <f t="shared" si="51"/>
        <v>7096</v>
      </c>
      <c r="V58" s="237">
        <f t="shared" si="51"/>
        <v>7096</v>
      </c>
      <c r="W58" s="238"/>
      <c r="Y58" s="100"/>
    </row>
    <row r="59" spans="2:25" s="52" customFormat="1" ht="15" hidden="1" customHeight="1" outlineLevel="1" x14ac:dyDescent="0.3">
      <c r="B59" s="131" t="s">
        <v>159</v>
      </c>
      <c r="C59" s="132"/>
      <c r="D59" s="224">
        <f t="shared" ref="D59:G59" si="52">SUM(D55:D58)</f>
        <v>21499</v>
      </c>
      <c r="E59" s="224">
        <f t="shared" si="52"/>
        <v>23572</v>
      </c>
      <c r="F59" s="224">
        <f t="shared" si="52"/>
        <v>23641</v>
      </c>
      <c r="G59" s="224">
        <f t="shared" si="52"/>
        <v>24189</v>
      </c>
      <c r="H59" s="245"/>
      <c r="I59" s="224">
        <v>23806</v>
      </c>
      <c r="J59" s="224">
        <f t="shared" ref="J59:K59" si="53">SUM(J55:J58)</f>
        <v>26387</v>
      </c>
      <c r="K59" s="224">
        <f t="shared" si="53"/>
        <v>27870</v>
      </c>
      <c r="L59" s="224">
        <f>SUM(L55:L58)</f>
        <v>28319</v>
      </c>
      <c r="M59" s="245"/>
      <c r="N59" s="224">
        <f>SUM(N55:N58)</f>
        <v>27902</v>
      </c>
      <c r="O59" s="224">
        <f>SUM(O55:O58)</f>
        <v>28044</v>
      </c>
      <c r="P59" s="224">
        <f t="shared" ref="P59:Q59" si="54">SUM(P55:P58)</f>
        <v>28044</v>
      </c>
      <c r="Q59" s="224">
        <f t="shared" si="54"/>
        <v>28044</v>
      </c>
      <c r="R59" s="245"/>
      <c r="S59" s="224">
        <f t="shared" ref="S59:V59" si="55">SUM(S55:S58)</f>
        <v>28044</v>
      </c>
      <c r="T59" s="224">
        <f t="shared" si="55"/>
        <v>28044</v>
      </c>
      <c r="U59" s="224">
        <f t="shared" si="55"/>
        <v>28044</v>
      </c>
      <c r="V59" s="224">
        <f t="shared" si="55"/>
        <v>28044</v>
      </c>
      <c r="W59" s="245"/>
      <c r="Y59" s="246"/>
    </row>
    <row r="60" spans="2:25" s="52" customFormat="1" ht="15" hidden="1" customHeight="1" outlineLevel="1" x14ac:dyDescent="0.3">
      <c r="B60" s="127" t="s">
        <v>160</v>
      </c>
      <c r="C60" s="128"/>
      <c r="D60" s="273">
        <f t="shared" ref="D60:G60" si="56">D59/D54</f>
        <v>1.7939753004005341</v>
      </c>
      <c r="E60" s="274">
        <f t="shared" si="56"/>
        <v>1.8962271740004826</v>
      </c>
      <c r="F60" s="274">
        <f t="shared" si="56"/>
        <v>1.860177826736958</v>
      </c>
      <c r="G60" s="275">
        <f t="shared" si="56"/>
        <v>1.839467680608365</v>
      </c>
      <c r="H60" s="273"/>
      <c r="I60" s="273">
        <f t="shared" ref="I60:L60" si="57">I59/I54</f>
        <v>1.7664168583512652</v>
      </c>
      <c r="J60" s="274">
        <f t="shared" si="57"/>
        <v>1.9278877767224374</v>
      </c>
      <c r="K60" s="274">
        <f t="shared" si="57"/>
        <v>1.971701450300672</v>
      </c>
      <c r="L60" s="275">
        <f t="shared" si="57"/>
        <v>1.9490020646937372</v>
      </c>
      <c r="M60" s="276"/>
      <c r="N60" s="273">
        <f>N59/N54</f>
        <v>1.855679702048417</v>
      </c>
      <c r="O60" s="274">
        <f t="shared" ref="O60:Q60" si="58">O59/O54</f>
        <v>1.8290578848119892</v>
      </c>
      <c r="P60" s="274">
        <f t="shared" si="58"/>
        <v>1.7858213364972917</v>
      </c>
      <c r="Q60" s="275">
        <f t="shared" si="58"/>
        <v>1.7535502120579363</v>
      </c>
      <c r="R60" s="273"/>
      <c r="S60" s="273">
        <f t="shared" ref="S60:V60" si="59">S59/S54</f>
        <v>1.7206598457474904</v>
      </c>
      <c r="T60" s="274">
        <f t="shared" si="59"/>
        <v>1.7400828874963381</v>
      </c>
      <c r="U60" s="274">
        <f t="shared" si="59"/>
        <v>1.7547283180046445</v>
      </c>
      <c r="V60" s="275">
        <f t="shared" si="59"/>
        <v>1.7439770005475435</v>
      </c>
      <c r="W60" s="247"/>
      <c r="Y60" s="246"/>
    </row>
    <row r="61" spans="2:25" s="52" customFormat="1" ht="15" customHeight="1" collapsed="1" x14ac:dyDescent="0.3">
      <c r="B61" s="293" t="s">
        <v>15</v>
      </c>
      <c r="C61" s="132"/>
      <c r="D61" s="90"/>
      <c r="E61" s="90"/>
      <c r="F61" s="90"/>
      <c r="G61" s="90"/>
      <c r="H61" s="298"/>
      <c r="I61" s="90"/>
      <c r="J61" s="90"/>
      <c r="K61" s="90"/>
      <c r="L61" s="90"/>
      <c r="M61" s="291"/>
      <c r="N61" s="90"/>
      <c r="O61" s="90"/>
      <c r="P61" s="90"/>
      <c r="Q61" s="90"/>
      <c r="R61" s="298"/>
      <c r="S61" s="90"/>
      <c r="T61" s="90"/>
      <c r="U61" s="90"/>
      <c r="V61" s="90"/>
      <c r="W61" s="292"/>
      <c r="Y61" s="246"/>
    </row>
    <row r="62" spans="2:25" s="28" customFormat="1" ht="15" hidden="1" customHeight="1" outlineLevel="1" x14ac:dyDescent="0.45">
      <c r="B62" s="165" t="s">
        <v>16</v>
      </c>
      <c r="C62" s="166"/>
      <c r="D62" s="2"/>
      <c r="E62" s="30"/>
      <c r="F62" s="30"/>
      <c r="G62" s="30"/>
      <c r="H62" s="40"/>
      <c r="I62" s="123">
        <f>(I24+I66)/G24-1</f>
        <v>2.3582917304747486E-3</v>
      </c>
      <c r="J62" s="123">
        <f>(J24+J66)/I24-1</f>
        <v>8.7192372881372826E-4</v>
      </c>
      <c r="K62" s="123">
        <f>(K24+K66)/J24-1</f>
        <v>1.1462946219797931E-3</v>
      </c>
      <c r="L62" s="123">
        <f>(L24+L66)/K24-1</f>
        <v>1.7465851735032345E-4</v>
      </c>
      <c r="M62" s="11"/>
      <c r="N62" s="123">
        <f>(N24+N66)/L24-1</f>
        <v>4.3377284345047507E-3</v>
      </c>
      <c r="O62" s="32">
        <v>2E-3</v>
      </c>
      <c r="P62" s="32">
        <v>2E-3</v>
      </c>
      <c r="Q62" s="32">
        <v>2E-3</v>
      </c>
      <c r="R62" s="11"/>
      <c r="S62" s="32">
        <v>2E-3</v>
      </c>
      <c r="T62" s="32">
        <v>2E-3</v>
      </c>
      <c r="U62" s="32">
        <v>2E-3</v>
      </c>
      <c r="V62" s="32">
        <v>2E-3</v>
      </c>
      <c r="W62" s="11"/>
      <c r="Y62" s="64"/>
    </row>
    <row r="63" spans="2:25" s="28" customFormat="1" ht="15" hidden="1" customHeight="1" outlineLevel="1" x14ac:dyDescent="0.45">
      <c r="B63" s="165" t="s">
        <v>17</v>
      </c>
      <c r="C63" s="166"/>
      <c r="D63" s="2"/>
      <c r="E63" s="30"/>
      <c r="F63" s="30"/>
      <c r="G63" s="30"/>
      <c r="H63" s="40"/>
      <c r="I63" s="123">
        <f>(I25+I66)/G25-1</f>
        <v>1.5828987823440777E-3</v>
      </c>
      <c r="J63" s="123">
        <f>(J25+J66)/I25-1</f>
        <v>1.009632183908149E-4</v>
      </c>
      <c r="K63" s="123">
        <f>(K25+K66)/J25-1</f>
        <v>1.1409588828550365E-3</v>
      </c>
      <c r="L63" s="123">
        <f>(L25+L66)/K25-1</f>
        <v>9.5876530612248878E-4</v>
      </c>
      <c r="M63" s="11"/>
      <c r="N63" s="123">
        <f>(N25+N66)/L25-1</f>
        <v>2.7250484511516238E-3</v>
      </c>
      <c r="O63" s="32">
        <v>2E-3</v>
      </c>
      <c r="P63" s="32">
        <v>2E-3</v>
      </c>
      <c r="Q63" s="32">
        <v>2E-3</v>
      </c>
      <c r="R63" s="11"/>
      <c r="S63" s="32">
        <v>2E-3</v>
      </c>
      <c r="T63" s="32">
        <v>2E-3</v>
      </c>
      <c r="U63" s="32">
        <v>2E-3</v>
      </c>
      <c r="V63" s="32">
        <v>2E-3</v>
      </c>
      <c r="W63" s="11"/>
      <c r="Y63" s="64"/>
    </row>
    <row r="64" spans="2:25" s="64" customFormat="1" ht="15" hidden="1" customHeight="1" outlineLevel="1" x14ac:dyDescent="0.45">
      <c r="B64" s="165" t="s">
        <v>18</v>
      </c>
      <c r="C64" s="166"/>
      <c r="D64" s="115"/>
      <c r="E64" s="2"/>
      <c r="F64" s="2"/>
      <c r="G64" s="2"/>
      <c r="H64" s="11"/>
      <c r="I64" s="135">
        <v>114.22</v>
      </c>
      <c r="J64" s="135">
        <v>111.62</v>
      </c>
      <c r="K64" s="135">
        <v>114.67</v>
      </c>
      <c r="L64" s="135">
        <v>130.52000000000001</v>
      </c>
      <c r="M64" s="277"/>
      <c r="N64" s="135">
        <v>131.99</v>
      </c>
      <c r="O64" s="153">
        <v>130</v>
      </c>
      <c r="P64" s="153">
        <v>130</v>
      </c>
      <c r="Q64" s="153">
        <v>130</v>
      </c>
      <c r="R64" s="277"/>
      <c r="S64" s="153">
        <v>130</v>
      </c>
      <c r="T64" s="153">
        <v>130</v>
      </c>
      <c r="U64" s="153">
        <v>130</v>
      </c>
      <c r="V64" s="153">
        <v>130</v>
      </c>
      <c r="W64" s="277"/>
      <c r="X64" s="17"/>
    </row>
    <row r="65" spans="2:38" s="64" customFormat="1" ht="15" hidden="1" customHeight="1" outlineLevel="1" x14ac:dyDescent="0.45">
      <c r="B65" s="165" t="s">
        <v>19</v>
      </c>
      <c r="C65" s="166"/>
      <c r="D65" s="43"/>
      <c r="E65" s="41"/>
      <c r="F65" s="43"/>
      <c r="G65" s="43"/>
      <c r="H65" s="11"/>
      <c r="I65" s="43">
        <f t="shared" ref="I65:L65" si="60">I66*I64</f>
        <v>1265.54949038</v>
      </c>
      <c r="J65" s="41">
        <f t="shared" si="60"/>
        <v>1800.62671634</v>
      </c>
      <c r="K65" s="43">
        <f t="shared" si="60"/>
        <v>1888.69471032</v>
      </c>
      <c r="L65" s="43">
        <f t="shared" si="60"/>
        <v>2117.2258728400002</v>
      </c>
      <c r="M65" s="31"/>
      <c r="N65" s="43">
        <f>N66*N64</f>
        <v>1376.7660436399999</v>
      </c>
      <c r="O65" s="116">
        <v>1200</v>
      </c>
      <c r="P65" s="116">
        <v>1200</v>
      </c>
      <c r="Q65" s="116">
        <v>1200</v>
      </c>
      <c r="R65" s="31"/>
      <c r="S65" s="116">
        <v>1200</v>
      </c>
      <c r="T65" s="116">
        <v>1200</v>
      </c>
      <c r="U65" s="116">
        <v>1200</v>
      </c>
      <c r="V65" s="116">
        <v>1200</v>
      </c>
      <c r="W65" s="31"/>
      <c r="X65" s="17"/>
    </row>
    <row r="66" spans="2:38" s="64" customFormat="1" ht="15" hidden="1" customHeight="1" outlineLevel="1" x14ac:dyDescent="0.45">
      <c r="B66" s="294" t="s">
        <v>20</v>
      </c>
      <c r="C66" s="295"/>
      <c r="D66" s="296"/>
      <c r="E66" s="296"/>
      <c r="F66" s="296"/>
      <c r="G66" s="296"/>
      <c r="H66" s="114"/>
      <c r="I66" s="296">
        <v>11.079929</v>
      </c>
      <c r="J66" s="296">
        <v>16.131757</v>
      </c>
      <c r="K66" s="296">
        <v>16.470696</v>
      </c>
      <c r="L66" s="296">
        <v>16.221467000000001</v>
      </c>
      <c r="M66" s="297"/>
      <c r="N66" s="296">
        <v>10.430835999999999</v>
      </c>
      <c r="O66" s="296">
        <f t="shared" ref="O66" si="61">IF((O65)&gt;0,(O65/O64),0)</f>
        <v>9.2307692307692299</v>
      </c>
      <c r="P66" s="296">
        <f t="shared" ref="P66" si="62">IF((P65)&gt;0,(P65/P64),0)</f>
        <v>9.2307692307692299</v>
      </c>
      <c r="Q66" s="296">
        <f t="shared" ref="Q66" si="63">IF((Q65)&gt;0,(Q65/Q64),0)</f>
        <v>9.2307692307692299</v>
      </c>
      <c r="R66" s="297"/>
      <c r="S66" s="296">
        <f>IF((S65)&gt;0,(S65/S64),0)</f>
        <v>9.2307692307692299</v>
      </c>
      <c r="T66" s="296">
        <f t="shared" ref="T66" si="64">IF((T65)&gt;0,(T65/T64),0)</f>
        <v>9.2307692307692299</v>
      </c>
      <c r="U66" s="296">
        <f t="shared" ref="U66" si="65">IF((U65)&gt;0,(U65/U64),0)</f>
        <v>9.2307692307692299</v>
      </c>
      <c r="V66" s="296">
        <f t="shared" ref="V66" si="66">IF((V65)&gt;0,(V65/V64),0)</f>
        <v>9.2307692307692299</v>
      </c>
      <c r="W66" s="297"/>
      <c r="X66" s="17"/>
    </row>
    <row r="67" spans="2:38" s="50" customFormat="1" ht="15" customHeight="1" collapsed="1" x14ac:dyDescent="0.3">
      <c r="B67" s="24"/>
      <c r="C67" s="102"/>
      <c r="D67" s="43"/>
      <c r="E67" s="43"/>
      <c r="F67" s="43"/>
      <c r="G67" s="43"/>
      <c r="H67" s="43"/>
      <c r="I67" s="43"/>
      <c r="J67" s="43"/>
      <c r="K67" s="43"/>
      <c r="L67" s="43"/>
      <c r="M67" s="43"/>
      <c r="N67" s="43"/>
      <c r="O67" s="43"/>
      <c r="P67" s="43"/>
      <c r="Q67" s="43"/>
      <c r="R67" s="43"/>
      <c r="S67" s="43"/>
      <c r="T67" s="43"/>
      <c r="U67" s="43"/>
      <c r="V67" s="43"/>
      <c r="W67" s="43"/>
      <c r="X67" s="73"/>
      <c r="Y67" s="64"/>
    </row>
    <row r="68" spans="2:38" s="50" customFormat="1" ht="15.6" x14ac:dyDescent="0.3">
      <c r="B68" s="167" t="s">
        <v>50</v>
      </c>
      <c r="C68" s="168"/>
      <c r="D68" s="103"/>
      <c r="E68" s="103"/>
      <c r="F68" s="103"/>
      <c r="G68" s="103"/>
      <c r="H68" s="103"/>
      <c r="I68" s="103"/>
      <c r="J68" s="103"/>
      <c r="K68" s="103"/>
      <c r="L68" s="103"/>
      <c r="M68" s="103"/>
      <c r="N68" s="103"/>
      <c r="O68" s="103"/>
      <c r="P68" s="103"/>
      <c r="Q68" s="103"/>
      <c r="R68" s="103"/>
      <c r="S68" s="103"/>
      <c r="T68" s="103"/>
      <c r="U68" s="103"/>
      <c r="V68" s="103"/>
      <c r="W68" s="103"/>
      <c r="X68" s="103"/>
      <c r="Y68" s="244"/>
      <c r="Z68" s="103"/>
      <c r="AA68" s="103"/>
      <c r="AB68" s="103"/>
      <c r="AC68" s="103"/>
      <c r="AD68" s="103"/>
      <c r="AE68" s="103"/>
      <c r="AF68" s="103"/>
      <c r="AG68" s="103"/>
      <c r="AH68" s="103"/>
      <c r="AI68" s="103"/>
      <c r="AJ68" s="103"/>
      <c r="AK68" s="103"/>
      <c r="AL68" s="103"/>
    </row>
    <row r="69" spans="2:38" s="50" customFormat="1" hidden="1" outlineLevel="1" x14ac:dyDescent="0.3">
      <c r="B69" s="169" t="s">
        <v>0</v>
      </c>
      <c r="C69" s="170"/>
      <c r="D69" s="53" t="s">
        <v>101</v>
      </c>
      <c r="E69" s="53" t="s">
        <v>102</v>
      </c>
      <c r="F69" s="53" t="s">
        <v>103</v>
      </c>
      <c r="G69" s="53" t="s">
        <v>161</v>
      </c>
      <c r="H69" s="53" t="s">
        <v>161</v>
      </c>
      <c r="I69" s="53" t="s">
        <v>183</v>
      </c>
      <c r="J69" s="53" t="s">
        <v>184</v>
      </c>
      <c r="K69" s="53" t="s">
        <v>185</v>
      </c>
      <c r="L69" s="53" t="s">
        <v>166</v>
      </c>
      <c r="M69" s="53" t="s">
        <v>166</v>
      </c>
      <c r="N69" s="53" t="s">
        <v>136</v>
      </c>
      <c r="Y69" s="64"/>
    </row>
    <row r="70" spans="2:38" s="50" customFormat="1" ht="16.2" hidden="1" outlineLevel="1" x14ac:dyDescent="0.45">
      <c r="B70" s="169"/>
      <c r="C70" s="170"/>
      <c r="D70" s="54" t="s">
        <v>165</v>
      </c>
      <c r="E70" s="54" t="s">
        <v>164</v>
      </c>
      <c r="F70" s="54" t="s">
        <v>163</v>
      </c>
      <c r="G70" s="54" t="s">
        <v>162</v>
      </c>
      <c r="H70" s="54" t="s">
        <v>11</v>
      </c>
      <c r="I70" s="54" t="s">
        <v>167</v>
      </c>
      <c r="J70" s="54" t="s">
        <v>168</v>
      </c>
      <c r="K70" s="54" t="s">
        <v>169</v>
      </c>
      <c r="L70" s="54" t="s">
        <v>170</v>
      </c>
      <c r="M70" s="54" t="s">
        <v>39</v>
      </c>
      <c r="N70" s="54" t="s">
        <v>172</v>
      </c>
      <c r="Y70" s="64"/>
    </row>
    <row r="71" spans="2:38" s="50" customFormat="1" hidden="1" outlineLevel="1" x14ac:dyDescent="0.3">
      <c r="B71" s="163" t="s">
        <v>51</v>
      </c>
      <c r="C71" s="164"/>
      <c r="D71" s="104"/>
      <c r="E71" s="105"/>
      <c r="F71" s="105"/>
      <c r="G71" s="106"/>
      <c r="H71" s="107"/>
      <c r="I71" s="108"/>
      <c r="J71" s="109"/>
      <c r="K71" s="110"/>
      <c r="L71" s="110"/>
      <c r="M71" s="111"/>
      <c r="N71" s="248"/>
      <c r="Y71" s="64"/>
    </row>
    <row r="72" spans="2:38" s="50" customFormat="1" hidden="1" outlineLevel="1" x14ac:dyDescent="0.3">
      <c r="B72" s="165" t="s">
        <v>52</v>
      </c>
      <c r="C72" s="166"/>
      <c r="D72" s="249">
        <v>2511</v>
      </c>
      <c r="E72" s="115">
        <v>4216</v>
      </c>
      <c r="F72" s="115">
        <v>2181</v>
      </c>
      <c r="G72" s="250">
        <v>1723</v>
      </c>
      <c r="H72" s="251">
        <f>G72</f>
        <v>1723</v>
      </c>
      <c r="I72" s="200">
        <v>2827</v>
      </c>
      <c r="J72" s="200">
        <v>4936</v>
      </c>
      <c r="K72" s="252">
        <v>3040</v>
      </c>
      <c r="L72" s="200">
        <v>2216</v>
      </c>
      <c r="M72" s="253">
        <f>L72</f>
        <v>2216</v>
      </c>
      <c r="N72" s="271">
        <v>3257</v>
      </c>
      <c r="Y72" s="64"/>
    </row>
    <row r="73" spans="2:38" s="50" customFormat="1" hidden="1" outlineLevel="1" x14ac:dyDescent="0.3">
      <c r="B73" s="165" t="s">
        <v>110</v>
      </c>
      <c r="C73" s="166"/>
      <c r="D73" s="249">
        <v>12343</v>
      </c>
      <c r="E73" s="115">
        <v>11665</v>
      </c>
      <c r="F73" s="115">
        <v>12008</v>
      </c>
      <c r="G73" s="250">
        <v>11079</v>
      </c>
      <c r="H73" s="251">
        <f t="shared" ref="H73:H75" si="67">G73</f>
        <v>11079</v>
      </c>
      <c r="I73" s="200">
        <v>12306</v>
      </c>
      <c r="J73" s="200">
        <v>11859</v>
      </c>
      <c r="K73" s="200">
        <v>1942</v>
      </c>
      <c r="L73" s="200">
        <v>11809</v>
      </c>
      <c r="M73" s="253">
        <f t="shared" ref="M73:M75" si="68">L73</f>
        <v>11809</v>
      </c>
      <c r="N73" s="271">
        <v>13219</v>
      </c>
      <c r="Y73" s="64"/>
    </row>
    <row r="74" spans="2:38" s="50" customFormat="1" hidden="1" outlineLevel="1" x14ac:dyDescent="0.3">
      <c r="B74" s="165" t="s">
        <v>53</v>
      </c>
      <c r="C74" s="166"/>
      <c r="D74" s="249">
        <v>1831</v>
      </c>
      <c r="E74" s="115">
        <v>1637</v>
      </c>
      <c r="F74" s="115">
        <v>1611</v>
      </c>
      <c r="G74" s="250">
        <v>1484</v>
      </c>
      <c r="H74" s="251">
        <f t="shared" si="67"/>
        <v>1484</v>
      </c>
      <c r="I74" s="200">
        <v>1839</v>
      </c>
      <c r="J74" s="200">
        <v>1696</v>
      </c>
      <c r="K74" s="200">
        <v>12495</v>
      </c>
      <c r="L74" s="200">
        <v>1890</v>
      </c>
      <c r="M74" s="253">
        <f t="shared" si="68"/>
        <v>1890</v>
      </c>
      <c r="N74" s="271">
        <v>1989</v>
      </c>
      <c r="Y74" s="64"/>
    </row>
    <row r="75" spans="2:38" s="50" customFormat="1" ht="16.2" hidden="1" outlineLevel="1" x14ac:dyDescent="0.45">
      <c r="B75" s="165" t="s">
        <v>72</v>
      </c>
      <c r="C75" s="166"/>
      <c r="D75" s="201">
        <v>830</v>
      </c>
      <c r="E75" s="202">
        <v>973</v>
      </c>
      <c r="F75" s="202">
        <v>949</v>
      </c>
      <c r="G75" s="266">
        <v>1016</v>
      </c>
      <c r="H75" s="203">
        <f t="shared" si="67"/>
        <v>1016</v>
      </c>
      <c r="I75" s="204">
        <v>1023</v>
      </c>
      <c r="J75" s="204">
        <v>1040</v>
      </c>
      <c r="K75" s="204">
        <v>1129</v>
      </c>
      <c r="L75" s="204">
        <v>1078</v>
      </c>
      <c r="M75" s="267">
        <f t="shared" si="68"/>
        <v>1078</v>
      </c>
      <c r="N75" s="272">
        <v>545</v>
      </c>
      <c r="Y75" s="64"/>
    </row>
    <row r="76" spans="2:38" s="50" customFormat="1" hidden="1" outlineLevel="1" x14ac:dyDescent="0.3">
      <c r="B76" s="159" t="s">
        <v>54</v>
      </c>
      <c r="C76" s="160"/>
      <c r="D76" s="206">
        <f t="shared" ref="D76:M76" si="69">SUM(D72:D75)</f>
        <v>17515</v>
      </c>
      <c r="E76" s="206">
        <f t="shared" si="69"/>
        <v>18491</v>
      </c>
      <c r="F76" s="206">
        <f t="shared" si="69"/>
        <v>16749</v>
      </c>
      <c r="G76" s="254">
        <f t="shared" si="69"/>
        <v>15302</v>
      </c>
      <c r="H76" s="207">
        <f t="shared" si="69"/>
        <v>15302</v>
      </c>
      <c r="I76" s="208">
        <f t="shared" si="69"/>
        <v>17995</v>
      </c>
      <c r="J76" s="208">
        <f t="shared" si="69"/>
        <v>19531</v>
      </c>
      <c r="K76" s="208">
        <f t="shared" si="69"/>
        <v>18606</v>
      </c>
      <c r="L76" s="208">
        <f t="shared" si="69"/>
        <v>16993</v>
      </c>
      <c r="M76" s="255">
        <f>SUM(M72:M75)</f>
        <v>16993</v>
      </c>
      <c r="N76" s="255">
        <f>SUM(N72:N75)</f>
        <v>19010</v>
      </c>
      <c r="Y76" s="64"/>
    </row>
    <row r="77" spans="2:38" s="50" customFormat="1" hidden="1" outlineLevel="1" x14ac:dyDescent="0.3">
      <c r="B77" s="165" t="s">
        <v>55</v>
      </c>
      <c r="C77" s="166"/>
      <c r="D77" s="249">
        <v>39326</v>
      </c>
      <c r="E77" s="115">
        <v>39603</v>
      </c>
      <c r="F77" s="115">
        <v>39741</v>
      </c>
      <c r="G77" s="250">
        <v>38513</v>
      </c>
      <c r="H77" s="251">
        <f t="shared" ref="H77:H80" si="70">G77</f>
        <v>38513</v>
      </c>
      <c r="I77" s="200">
        <v>38800</v>
      </c>
      <c r="J77" s="200">
        <v>38862</v>
      </c>
      <c r="K77" s="200">
        <v>39116</v>
      </c>
      <c r="L77" s="200">
        <v>39266</v>
      </c>
      <c r="M77" s="253">
        <f t="shared" ref="M77:M80" si="71">L77</f>
        <v>39266</v>
      </c>
      <c r="N77" s="271">
        <v>39815</v>
      </c>
      <c r="Y77" s="64"/>
    </row>
    <row r="78" spans="2:38" s="50" customFormat="1" hidden="1" outlineLevel="1" x14ac:dyDescent="0.3">
      <c r="B78" s="125" t="s">
        <v>111</v>
      </c>
      <c r="C78" s="126"/>
      <c r="D78" s="249">
        <v>-16088</v>
      </c>
      <c r="E78" s="115">
        <v>-16477</v>
      </c>
      <c r="F78" s="115">
        <v>-16801</v>
      </c>
      <c r="G78" s="250">
        <v>-15793</v>
      </c>
      <c r="H78" s="251">
        <f t="shared" si="70"/>
        <v>-15793</v>
      </c>
      <c r="I78" s="200">
        <v>-16238</v>
      </c>
      <c r="J78" s="200">
        <v>-16560</v>
      </c>
      <c r="K78" s="200">
        <v>-16922</v>
      </c>
      <c r="L78" s="200">
        <v>-17075</v>
      </c>
      <c r="M78" s="253">
        <f t="shared" si="71"/>
        <v>-17075</v>
      </c>
      <c r="N78" s="271">
        <v>-17572</v>
      </c>
      <c r="Y78" s="64"/>
    </row>
    <row r="79" spans="2:38" s="50" customFormat="1" hidden="1" outlineLevel="1" x14ac:dyDescent="0.3">
      <c r="B79" s="125" t="s">
        <v>83</v>
      </c>
      <c r="C79" s="126"/>
      <c r="D79" s="249">
        <v>1293</v>
      </c>
      <c r="E79" s="115">
        <v>1295</v>
      </c>
      <c r="F79" s="115">
        <v>1283</v>
      </c>
      <c r="G79" s="250">
        <v>1353</v>
      </c>
      <c r="H79" s="251">
        <f t="shared" si="70"/>
        <v>1353</v>
      </c>
      <c r="I79" s="200">
        <v>1359</v>
      </c>
      <c r="J79" s="200">
        <v>1340</v>
      </c>
      <c r="K79" s="200">
        <v>2111</v>
      </c>
      <c r="L79" s="200">
        <v>2102</v>
      </c>
      <c r="M79" s="253">
        <f t="shared" si="71"/>
        <v>2102</v>
      </c>
      <c r="N79" s="271">
        <v>2123</v>
      </c>
      <c r="Y79" s="64"/>
    </row>
    <row r="80" spans="2:38" s="50" customFormat="1" ht="16.2" hidden="1" outlineLevel="1" x14ac:dyDescent="0.45">
      <c r="B80" s="165" t="s">
        <v>84</v>
      </c>
      <c r="C80" s="166"/>
      <c r="D80" s="201">
        <v>583</v>
      </c>
      <c r="E80" s="202">
        <v>567</v>
      </c>
      <c r="F80" s="202">
        <v>540</v>
      </c>
      <c r="G80" s="266">
        <v>571</v>
      </c>
      <c r="H80" s="203">
        <f t="shared" si="70"/>
        <v>571</v>
      </c>
      <c r="I80" s="204">
        <v>594</v>
      </c>
      <c r="J80" s="204">
        <v>625</v>
      </c>
      <c r="K80" s="204">
        <v>1241</v>
      </c>
      <c r="L80" s="204">
        <v>1263</v>
      </c>
      <c r="M80" s="267">
        <f t="shared" si="71"/>
        <v>1263</v>
      </c>
      <c r="N80" s="272">
        <v>1200</v>
      </c>
      <c r="Y80" s="64"/>
    </row>
    <row r="81" spans="2:25" s="50" customFormat="1" hidden="1" outlineLevel="1" x14ac:dyDescent="0.3">
      <c r="B81" s="159" t="s">
        <v>56</v>
      </c>
      <c r="C81" s="160"/>
      <c r="D81" s="206">
        <f t="shared" ref="D81:M81" si="72">SUM(D76:D80)</f>
        <v>42629</v>
      </c>
      <c r="E81" s="206">
        <f t="shared" si="72"/>
        <v>43479</v>
      </c>
      <c r="F81" s="206">
        <f t="shared" si="72"/>
        <v>41512</v>
      </c>
      <c r="G81" s="254">
        <f t="shared" si="72"/>
        <v>39946</v>
      </c>
      <c r="H81" s="207">
        <f t="shared" si="72"/>
        <v>39946</v>
      </c>
      <c r="I81" s="208">
        <f t="shared" si="72"/>
        <v>42510</v>
      </c>
      <c r="J81" s="208">
        <f t="shared" si="72"/>
        <v>43798</v>
      </c>
      <c r="K81" s="208">
        <f t="shared" si="72"/>
        <v>44152</v>
      </c>
      <c r="L81" s="208">
        <f t="shared" si="72"/>
        <v>42549</v>
      </c>
      <c r="M81" s="255">
        <f>SUM(M76:M80)</f>
        <v>42549</v>
      </c>
      <c r="N81" s="255">
        <f>SUM(N76:N80)</f>
        <v>44576</v>
      </c>
      <c r="Y81" s="64"/>
    </row>
    <row r="82" spans="2:25" s="50" customFormat="1" ht="6.75" hidden="1" customHeight="1" outlineLevel="1" x14ac:dyDescent="0.3">
      <c r="B82" s="161"/>
      <c r="C82" s="162"/>
      <c r="D82" s="249"/>
      <c r="E82" s="115"/>
      <c r="F82" s="115"/>
      <c r="G82" s="250"/>
      <c r="H82" s="251"/>
      <c r="I82" s="200"/>
      <c r="J82" s="200"/>
      <c r="K82" s="200"/>
      <c r="L82" s="200"/>
      <c r="M82" s="253"/>
      <c r="N82" s="271"/>
      <c r="Y82" s="64"/>
    </row>
    <row r="83" spans="2:25" s="50" customFormat="1" hidden="1" outlineLevel="1" x14ac:dyDescent="0.3">
      <c r="B83" s="163" t="s">
        <v>57</v>
      </c>
      <c r="C83" s="164"/>
      <c r="D83" s="249"/>
      <c r="E83" s="115"/>
      <c r="F83" s="115"/>
      <c r="G83" s="250"/>
      <c r="H83" s="251"/>
      <c r="I83" s="200"/>
      <c r="J83" s="200"/>
      <c r="K83" s="200"/>
      <c r="L83" s="200"/>
      <c r="M83" s="253"/>
      <c r="N83" s="271"/>
      <c r="Y83" s="64"/>
    </row>
    <row r="84" spans="2:25" s="50" customFormat="1" hidden="1" outlineLevel="1" x14ac:dyDescent="0.3">
      <c r="B84" s="165" t="s">
        <v>58</v>
      </c>
      <c r="C84" s="166"/>
      <c r="D84" s="197">
        <v>7739</v>
      </c>
      <c r="E84" s="198">
        <v>7165</v>
      </c>
      <c r="F84" s="198">
        <v>6897</v>
      </c>
      <c r="G84" s="256">
        <v>5807</v>
      </c>
      <c r="H84" s="199">
        <f t="shared" ref="H84:H91" si="73">G84</f>
        <v>5807</v>
      </c>
      <c r="I84" s="200">
        <v>8070</v>
      </c>
      <c r="J84" s="200">
        <v>7495</v>
      </c>
      <c r="K84" s="200">
        <v>7236</v>
      </c>
      <c r="L84" s="200">
        <v>6565</v>
      </c>
      <c r="M84" s="253">
        <f>L84</f>
        <v>6565</v>
      </c>
      <c r="N84" s="271">
        <v>8711</v>
      </c>
      <c r="Y84" s="64"/>
    </row>
    <row r="85" spans="2:25" s="50" customFormat="1" hidden="1" outlineLevel="1" x14ac:dyDescent="0.3">
      <c r="B85" s="157" t="s">
        <v>135</v>
      </c>
      <c r="C85" s="158"/>
      <c r="D85" s="197">
        <v>1233</v>
      </c>
      <c r="E85" s="198">
        <v>1325</v>
      </c>
      <c r="F85" s="198">
        <v>1303</v>
      </c>
      <c r="G85" s="256">
        <f>1391+290</f>
        <v>1681</v>
      </c>
      <c r="H85" s="256">
        <f>1391+290</f>
        <v>1681</v>
      </c>
      <c r="I85" s="200">
        <v>1283</v>
      </c>
      <c r="J85" s="200">
        <v>1384</v>
      </c>
      <c r="K85" s="200">
        <v>1354</v>
      </c>
      <c r="L85" s="200">
        <v>1515</v>
      </c>
      <c r="M85" s="253">
        <f t="shared" ref="M85:M90" si="74">L85</f>
        <v>1515</v>
      </c>
      <c r="N85" s="271">
        <v>1339</v>
      </c>
      <c r="Y85" s="64"/>
    </row>
    <row r="86" spans="2:25" s="50" customFormat="1" hidden="1" outlineLevel="1" x14ac:dyDescent="0.3">
      <c r="B86" s="125" t="s">
        <v>112</v>
      </c>
      <c r="C86" s="126"/>
      <c r="D86" s="197">
        <v>597</v>
      </c>
      <c r="E86" s="198">
        <v>583</v>
      </c>
      <c r="F86" s="198">
        <v>515</v>
      </c>
      <c r="G86" s="256">
        <v>434</v>
      </c>
      <c r="H86" s="256">
        <v>434</v>
      </c>
      <c r="I86" s="200">
        <v>631</v>
      </c>
      <c r="J86" s="200">
        <v>603</v>
      </c>
      <c r="K86" s="200">
        <v>556</v>
      </c>
      <c r="L86" s="200">
        <v>476</v>
      </c>
      <c r="M86" s="253">
        <f t="shared" si="74"/>
        <v>476</v>
      </c>
      <c r="N86" s="271">
        <v>679</v>
      </c>
      <c r="Y86" s="64"/>
    </row>
    <row r="87" spans="2:25" s="50" customFormat="1" hidden="1" outlineLevel="1" x14ac:dyDescent="0.3">
      <c r="B87" s="218" t="s">
        <v>114</v>
      </c>
      <c r="C87" s="136"/>
      <c r="D87" s="198">
        <v>1441</v>
      </c>
      <c r="E87" s="198">
        <v>1503</v>
      </c>
      <c r="F87" s="198">
        <v>1424</v>
      </c>
      <c r="G87" s="256">
        <v>1468</v>
      </c>
      <c r="H87" s="256">
        <v>1468</v>
      </c>
      <c r="I87" s="200">
        <v>1603</v>
      </c>
      <c r="J87" s="200">
        <v>1652</v>
      </c>
      <c r="K87" s="200">
        <v>1513</v>
      </c>
      <c r="L87" s="200">
        <v>1566</v>
      </c>
      <c r="M87" s="253">
        <f t="shared" si="74"/>
        <v>1566</v>
      </c>
      <c r="N87" s="271">
        <v>1607</v>
      </c>
      <c r="Y87" s="64"/>
    </row>
    <row r="88" spans="2:25" s="50" customFormat="1" hidden="1" outlineLevel="1" x14ac:dyDescent="0.3">
      <c r="B88" s="133" t="s">
        <v>113</v>
      </c>
      <c r="C88" s="269"/>
      <c r="D88" s="198">
        <v>546</v>
      </c>
      <c r="E88" s="198">
        <v>357</v>
      </c>
      <c r="F88" s="198">
        <v>75</v>
      </c>
      <c r="G88" s="256">
        <v>35</v>
      </c>
      <c r="H88" s="199">
        <f t="shared" si="73"/>
        <v>35</v>
      </c>
      <c r="I88" s="200">
        <v>632</v>
      </c>
      <c r="J88" s="200">
        <v>180</v>
      </c>
      <c r="K88" s="200">
        <v>192</v>
      </c>
      <c r="L88" s="200">
        <v>34</v>
      </c>
      <c r="M88" s="253">
        <f t="shared" si="74"/>
        <v>34</v>
      </c>
      <c r="N88" s="271">
        <v>829</v>
      </c>
      <c r="Y88" s="64"/>
    </row>
    <row r="89" spans="2:25" s="50" customFormat="1" hidden="1" outlineLevel="1" x14ac:dyDescent="0.3">
      <c r="B89" s="218" t="s">
        <v>115</v>
      </c>
      <c r="C89" s="134"/>
      <c r="D89" s="197">
        <v>34</v>
      </c>
      <c r="E89" s="198">
        <v>34</v>
      </c>
      <c r="F89" s="198">
        <v>34</v>
      </c>
      <c r="G89" s="256">
        <v>38</v>
      </c>
      <c r="H89" s="256">
        <v>38</v>
      </c>
      <c r="I89" s="200">
        <v>3054</v>
      </c>
      <c r="J89" s="200">
        <v>3057</v>
      </c>
      <c r="K89" s="200">
        <v>3047</v>
      </c>
      <c r="L89" s="200">
        <v>77</v>
      </c>
      <c r="M89" s="253">
        <f t="shared" si="74"/>
        <v>77</v>
      </c>
      <c r="N89" s="271">
        <v>44</v>
      </c>
      <c r="Y89" s="64"/>
    </row>
    <row r="90" spans="2:25" s="50" customFormat="1" hidden="1" outlineLevel="1" x14ac:dyDescent="0.3">
      <c r="B90" s="218" t="s">
        <v>157</v>
      </c>
      <c r="C90" s="134"/>
      <c r="D90" s="197"/>
      <c r="E90" s="198"/>
      <c r="F90" s="198"/>
      <c r="G90" s="256"/>
      <c r="H90" s="256"/>
      <c r="I90" s="200"/>
      <c r="J90" s="200"/>
      <c r="K90" s="200"/>
      <c r="L90" s="200">
        <v>350</v>
      </c>
      <c r="M90" s="253">
        <f t="shared" si="74"/>
        <v>350</v>
      </c>
      <c r="N90" s="271">
        <v>0</v>
      </c>
      <c r="Y90" s="64"/>
    </row>
    <row r="91" spans="2:25" s="50" customFormat="1" ht="16.2" hidden="1" outlineLevel="1" x14ac:dyDescent="0.45">
      <c r="B91" s="157" t="s">
        <v>116</v>
      </c>
      <c r="C91" s="158"/>
      <c r="D91" s="201">
        <v>1675</v>
      </c>
      <c r="E91" s="202">
        <v>1872</v>
      </c>
      <c r="F91" s="202">
        <v>2012</v>
      </c>
      <c r="G91" s="266">
        <v>1806</v>
      </c>
      <c r="H91" s="203">
        <f t="shared" si="73"/>
        <v>1806</v>
      </c>
      <c r="I91" s="204">
        <v>1732</v>
      </c>
      <c r="J91" s="204">
        <v>2028</v>
      </c>
      <c r="K91" s="204">
        <v>2078</v>
      </c>
      <c r="L91" s="204">
        <f>1943</f>
        <v>1943</v>
      </c>
      <c r="M91" s="267">
        <f t="shared" ref="M88:M91" si="75">L91</f>
        <v>1943</v>
      </c>
      <c r="N91" s="272">
        <v>1940</v>
      </c>
      <c r="Y91" s="64"/>
    </row>
    <row r="92" spans="2:25" s="50" customFormat="1" hidden="1" outlineLevel="1" x14ac:dyDescent="0.3">
      <c r="B92" s="159" t="s">
        <v>59</v>
      </c>
      <c r="C92" s="160"/>
      <c r="D92" s="206">
        <f t="shared" ref="D92:M92" si="76">SUM(D84:D91)</f>
        <v>13265</v>
      </c>
      <c r="E92" s="206">
        <f t="shared" si="76"/>
        <v>12839</v>
      </c>
      <c r="F92" s="206">
        <f t="shared" si="76"/>
        <v>12260</v>
      </c>
      <c r="G92" s="254">
        <f t="shared" si="76"/>
        <v>11269</v>
      </c>
      <c r="H92" s="207">
        <f t="shared" si="76"/>
        <v>11269</v>
      </c>
      <c r="I92" s="208">
        <f t="shared" si="76"/>
        <v>17005</v>
      </c>
      <c r="J92" s="208">
        <f t="shared" si="76"/>
        <v>16399</v>
      </c>
      <c r="K92" s="208">
        <f t="shared" si="76"/>
        <v>15976</v>
      </c>
      <c r="L92" s="208">
        <f t="shared" si="76"/>
        <v>12526</v>
      </c>
      <c r="M92" s="255">
        <f>SUM(M84:M91)</f>
        <v>12526</v>
      </c>
      <c r="N92" s="255">
        <f>SUM(N84:N91)</f>
        <v>15149</v>
      </c>
      <c r="Y92" s="64"/>
    </row>
    <row r="93" spans="2:25" s="51" customFormat="1" hidden="1" outlineLevel="1" x14ac:dyDescent="0.3">
      <c r="B93" s="133" t="s">
        <v>118</v>
      </c>
      <c r="C93" s="134"/>
      <c r="D93" s="197">
        <v>14707</v>
      </c>
      <c r="E93" s="198">
        <v>16702</v>
      </c>
      <c r="F93" s="198">
        <v>16693</v>
      </c>
      <c r="G93" s="256">
        <v>16869</v>
      </c>
      <c r="H93" s="199">
        <f>G93</f>
        <v>16869</v>
      </c>
      <c r="I93" s="200">
        <v>13818</v>
      </c>
      <c r="J93" s="200">
        <v>16318</v>
      </c>
      <c r="K93" s="200">
        <v>17815</v>
      </c>
      <c r="L93" s="200">
        <v>20888</v>
      </c>
      <c r="M93" s="257">
        <f t="shared" ref="M93:M95" si="77">L93</f>
        <v>20888</v>
      </c>
      <c r="N93" s="271">
        <v>20904</v>
      </c>
      <c r="Y93" s="100"/>
    </row>
    <row r="94" spans="2:25" s="51" customFormat="1" hidden="1" outlineLevel="1" x14ac:dyDescent="0.3">
      <c r="B94" s="4" t="s">
        <v>60</v>
      </c>
      <c r="C94" s="270"/>
      <c r="D94" s="198">
        <v>2013</v>
      </c>
      <c r="E94" s="198">
        <v>1953</v>
      </c>
      <c r="F94" s="198">
        <v>1937</v>
      </c>
      <c r="G94" s="256">
        <v>1844</v>
      </c>
      <c r="H94" s="199">
        <f>G94</f>
        <v>1844</v>
      </c>
      <c r="I94" s="200">
        <v>1883</v>
      </c>
      <c r="J94" s="200">
        <v>1884</v>
      </c>
      <c r="K94" s="200">
        <v>1949</v>
      </c>
      <c r="L94" s="200">
        <v>1965</v>
      </c>
      <c r="M94" s="257">
        <f t="shared" si="77"/>
        <v>1965</v>
      </c>
      <c r="N94" s="271">
        <v>1885</v>
      </c>
      <c r="Y94" s="100"/>
    </row>
    <row r="95" spans="2:25" s="51" customFormat="1" ht="16.2" hidden="1" outlineLevel="1" x14ac:dyDescent="0.45">
      <c r="B95" s="133" t="s">
        <v>117</v>
      </c>
      <c r="C95" s="134"/>
      <c r="D95" s="201">
        <v>498</v>
      </c>
      <c r="E95" s="202">
        <v>528</v>
      </c>
      <c r="F95" s="202">
        <v>512</v>
      </c>
      <c r="G95" s="266">
        <v>642</v>
      </c>
      <c r="H95" s="203">
        <f>G95</f>
        <v>642</v>
      </c>
      <c r="I95" s="204">
        <v>600</v>
      </c>
      <c r="J95" s="204">
        <v>560</v>
      </c>
      <c r="K95" s="204">
        <v>793</v>
      </c>
      <c r="L95" s="204">
        <v>854</v>
      </c>
      <c r="M95" s="267">
        <f t="shared" si="77"/>
        <v>854</v>
      </c>
      <c r="N95" s="272">
        <v>303</v>
      </c>
      <c r="Y95" s="100"/>
    </row>
    <row r="96" spans="2:25" s="50" customFormat="1" hidden="1" outlineLevel="1" x14ac:dyDescent="0.3">
      <c r="B96" s="159" t="s">
        <v>61</v>
      </c>
      <c r="C96" s="160"/>
      <c r="D96" s="206">
        <f>SUM(D92:D95)</f>
        <v>30483</v>
      </c>
      <c r="E96" s="206">
        <f>SUM(E92:E95)</f>
        <v>32022</v>
      </c>
      <c r="F96" s="206">
        <f>SUM(F92:F95)</f>
        <v>31402</v>
      </c>
      <c r="G96" s="254">
        <f>SUM(G92:G95)</f>
        <v>30624</v>
      </c>
      <c r="H96" s="207">
        <f>SUM(H92:H95)</f>
        <v>30624</v>
      </c>
      <c r="I96" s="208">
        <f>SUM(I92:I95)</f>
        <v>33306</v>
      </c>
      <c r="J96" s="208">
        <f>SUM(J92:J95)</f>
        <v>35161</v>
      </c>
      <c r="K96" s="259">
        <f>SUM(K92:K95)</f>
        <v>36533</v>
      </c>
      <c r="L96" s="208">
        <f>SUM(L92:L95)</f>
        <v>36233</v>
      </c>
      <c r="M96" s="255">
        <f>SUM(M92:M95)</f>
        <v>36233</v>
      </c>
      <c r="N96" s="255">
        <f>SUM(N92:N95)</f>
        <v>38241</v>
      </c>
      <c r="Y96" s="64"/>
    </row>
    <row r="97" spans="2:25" s="50" customFormat="1" ht="6.75" hidden="1" customHeight="1" outlineLevel="1" x14ac:dyDescent="0.3">
      <c r="B97" s="161"/>
      <c r="C97" s="162"/>
      <c r="D97" s="197"/>
      <c r="E97" s="198"/>
      <c r="F97" s="198"/>
      <c r="G97" s="256"/>
      <c r="H97" s="199"/>
      <c r="I97" s="200"/>
      <c r="J97" s="200"/>
      <c r="K97" s="252"/>
      <c r="L97" s="200"/>
      <c r="M97" s="253"/>
      <c r="N97" s="271"/>
      <c r="Y97" s="64"/>
    </row>
    <row r="98" spans="2:25" s="50" customFormat="1" ht="15.45" hidden="1" customHeight="1" outlineLevel="1" x14ac:dyDescent="0.3">
      <c r="B98" s="129" t="s">
        <v>86</v>
      </c>
      <c r="C98" s="130"/>
      <c r="D98" s="197"/>
      <c r="E98" s="198"/>
      <c r="F98" s="198"/>
      <c r="G98" s="256"/>
      <c r="H98" s="199">
        <v>0</v>
      </c>
      <c r="I98" s="200"/>
      <c r="J98" s="200"/>
      <c r="K98" s="252"/>
      <c r="L98" s="200"/>
      <c r="M98" s="253"/>
      <c r="N98" s="271"/>
      <c r="Y98" s="64"/>
    </row>
    <row r="99" spans="2:25" s="50" customFormat="1" hidden="1" outlineLevel="1" x14ac:dyDescent="0.3">
      <c r="B99" s="163" t="s">
        <v>62</v>
      </c>
      <c r="C99" s="164"/>
      <c r="D99" s="197"/>
      <c r="E99" s="198"/>
      <c r="F99" s="198"/>
      <c r="G99" s="256"/>
      <c r="H99" s="199"/>
      <c r="I99" s="200"/>
      <c r="J99" s="200"/>
      <c r="K99" s="252"/>
      <c r="L99" s="200"/>
      <c r="M99" s="253"/>
      <c r="N99" s="271"/>
      <c r="Y99" s="64"/>
    </row>
    <row r="100" spans="2:25" s="51" customFormat="1" hidden="1" outlineLevel="1" x14ac:dyDescent="0.3">
      <c r="B100" s="133" t="s">
        <v>87</v>
      </c>
      <c r="C100" s="134"/>
      <c r="D100" s="249"/>
      <c r="E100" s="115"/>
      <c r="F100" s="115"/>
      <c r="G100" s="250"/>
      <c r="H100" s="251">
        <v>0</v>
      </c>
      <c r="I100" s="200"/>
      <c r="J100" s="200"/>
      <c r="K100" s="252"/>
      <c r="L100" s="252"/>
      <c r="M100" s="253">
        <f t="shared" ref="M100:M104" si="78">L100</f>
        <v>0</v>
      </c>
      <c r="N100" s="271"/>
    </row>
    <row r="101" spans="2:25" s="50" customFormat="1" hidden="1" outlineLevel="1" x14ac:dyDescent="0.3">
      <c r="B101" s="157" t="s">
        <v>89</v>
      </c>
      <c r="C101" s="158"/>
      <c r="D101" s="197">
        <v>88</v>
      </c>
      <c r="E101" s="258">
        <v>88</v>
      </c>
      <c r="F101" s="198">
        <v>88</v>
      </c>
      <c r="G101" s="256">
        <v>88</v>
      </c>
      <c r="H101" s="199">
        <f t="shared" ref="H101:H105" si="79">G101</f>
        <v>88</v>
      </c>
      <c r="I101" s="200">
        <v>88</v>
      </c>
      <c r="J101" s="200">
        <v>88</v>
      </c>
      <c r="K101" s="252">
        <v>88</v>
      </c>
      <c r="L101" s="252">
        <v>88</v>
      </c>
      <c r="M101" s="253">
        <f t="shared" si="78"/>
        <v>88</v>
      </c>
      <c r="N101" s="271">
        <v>88</v>
      </c>
    </row>
    <row r="102" spans="2:25" s="50" customFormat="1" hidden="1" outlineLevel="1" x14ac:dyDescent="0.3">
      <c r="B102" s="133" t="s">
        <v>88</v>
      </c>
      <c r="C102" s="134"/>
      <c r="D102" s="197">
        <v>8501</v>
      </c>
      <c r="E102" s="258">
        <v>8217</v>
      </c>
      <c r="F102" s="198">
        <v>8742</v>
      </c>
      <c r="G102" s="256">
        <v>8885</v>
      </c>
      <c r="H102" s="199">
        <f t="shared" si="79"/>
        <v>8885</v>
      </c>
      <c r="I102" s="200">
        <v>8957</v>
      </c>
      <c r="J102" s="200">
        <v>8972</v>
      </c>
      <c r="K102" s="252">
        <v>8966</v>
      </c>
      <c r="L102" s="252">
        <v>9347</v>
      </c>
      <c r="M102" s="253">
        <f t="shared" si="78"/>
        <v>9347</v>
      </c>
      <c r="N102" s="271">
        <v>9362</v>
      </c>
    </row>
    <row r="103" spans="2:25" s="50" customFormat="1" hidden="1" outlineLevel="1" x14ac:dyDescent="0.3">
      <c r="B103" s="133" t="s">
        <v>90</v>
      </c>
      <c r="C103" s="134"/>
      <c r="D103" s="197">
        <v>88</v>
      </c>
      <c r="E103" s="258">
        <v>91</v>
      </c>
      <c r="F103" s="198">
        <v>-18</v>
      </c>
      <c r="G103" s="256">
        <v>-452</v>
      </c>
      <c r="H103" s="256">
        <v>-452</v>
      </c>
      <c r="I103" s="200">
        <v>-327</v>
      </c>
      <c r="J103" s="200">
        <v>-582</v>
      </c>
      <c r="K103" s="252">
        <v>-662</v>
      </c>
      <c r="L103" s="252">
        <v>-898</v>
      </c>
      <c r="M103" s="253">
        <f>L103</f>
        <v>-898</v>
      </c>
      <c r="N103" s="271">
        <v>-578</v>
      </c>
    </row>
    <row r="104" spans="2:25" s="50" customFormat="1" hidden="1" outlineLevel="1" x14ac:dyDescent="0.3">
      <c r="B104" s="125" t="s">
        <v>119</v>
      </c>
      <c r="C104" s="269"/>
      <c r="D104" s="197">
        <v>23913</v>
      </c>
      <c r="E104" s="258">
        <v>25324</v>
      </c>
      <c r="F104" s="198">
        <v>26234</v>
      </c>
      <c r="G104" s="256">
        <v>26995</v>
      </c>
      <c r="H104" s="199">
        <f t="shared" si="79"/>
        <v>26995</v>
      </c>
      <c r="I104" s="200">
        <v>27805</v>
      </c>
      <c r="J104" s="200">
        <v>29275</v>
      </c>
      <c r="K104" s="252">
        <v>30246</v>
      </c>
      <c r="L104" s="252">
        <v>30973</v>
      </c>
      <c r="M104" s="253">
        <f t="shared" si="78"/>
        <v>30973</v>
      </c>
      <c r="N104" s="271">
        <v>31907</v>
      </c>
    </row>
    <row r="105" spans="2:25" s="50" customFormat="1" ht="16.2" hidden="1" outlineLevel="1" x14ac:dyDescent="0.45">
      <c r="B105" s="173" t="s">
        <v>120</v>
      </c>
      <c r="C105" s="174"/>
      <c r="D105" s="201">
        <v>-20444</v>
      </c>
      <c r="E105" s="268">
        <v>-22263</v>
      </c>
      <c r="F105" s="202">
        <v>-24936</v>
      </c>
      <c r="G105" s="266">
        <v>-26194</v>
      </c>
      <c r="H105" s="203">
        <f t="shared" si="79"/>
        <v>-26194</v>
      </c>
      <c r="I105" s="204">
        <v>-27319</v>
      </c>
      <c r="J105" s="204">
        <v>-29116</v>
      </c>
      <c r="K105" s="204">
        <v>-31019</v>
      </c>
      <c r="L105" s="204">
        <v>-33194</v>
      </c>
      <c r="M105" s="267">
        <f>L105</f>
        <v>-33194</v>
      </c>
      <c r="N105" s="272">
        <v>-34444</v>
      </c>
    </row>
    <row r="106" spans="2:25" s="50" customFormat="1" hidden="1" outlineLevel="1" x14ac:dyDescent="0.3">
      <c r="B106" s="159" t="s">
        <v>63</v>
      </c>
      <c r="C106" s="160"/>
      <c r="D106" s="206">
        <f>SUM(D100:D105)</f>
        <v>12146</v>
      </c>
      <c r="E106" s="206">
        <f>SUM(E100:E105)</f>
        <v>11457</v>
      </c>
      <c r="F106" s="206">
        <f t="shared" ref="F106:J106" si="80">SUM(F100:F105)</f>
        <v>10110</v>
      </c>
      <c r="G106" s="254">
        <f t="shared" si="80"/>
        <v>9322</v>
      </c>
      <c r="H106" s="207">
        <f t="shared" si="80"/>
        <v>9322</v>
      </c>
      <c r="I106" s="206">
        <f t="shared" si="80"/>
        <v>9204</v>
      </c>
      <c r="J106" s="206">
        <f t="shared" si="80"/>
        <v>8637</v>
      </c>
      <c r="K106" s="260">
        <f>SUM(K100:K105)</f>
        <v>7619</v>
      </c>
      <c r="L106" s="260">
        <f t="shared" ref="L106:M106" si="81">SUM(L100:L105)</f>
        <v>6316</v>
      </c>
      <c r="M106" s="255">
        <f>SUM(M100:M105)</f>
        <v>6316</v>
      </c>
      <c r="N106" s="255">
        <f>SUM(N100:N105)</f>
        <v>6335</v>
      </c>
    </row>
    <row r="107" spans="2:25" s="50" customFormat="1" hidden="1" outlineLevel="1" x14ac:dyDescent="0.3">
      <c r="B107" s="171" t="s">
        <v>64</v>
      </c>
      <c r="C107" s="172"/>
      <c r="D107" s="261">
        <f t="shared" ref="D107:I107" si="82">D106+D96</f>
        <v>42629</v>
      </c>
      <c r="E107" s="261">
        <f t="shared" si="82"/>
        <v>43479</v>
      </c>
      <c r="F107" s="261">
        <f t="shared" si="82"/>
        <v>41512</v>
      </c>
      <c r="G107" s="262">
        <f t="shared" si="82"/>
        <v>39946</v>
      </c>
      <c r="H107" s="263">
        <f t="shared" si="82"/>
        <v>39946</v>
      </c>
      <c r="I107" s="261">
        <f t="shared" si="82"/>
        <v>42510</v>
      </c>
      <c r="J107" s="261">
        <f t="shared" ref="J107:L107" si="83">J106+J96</f>
        <v>43798</v>
      </c>
      <c r="K107" s="264">
        <f>K106+K96</f>
        <v>44152</v>
      </c>
      <c r="L107" s="264">
        <f t="shared" si="83"/>
        <v>42549</v>
      </c>
      <c r="M107" s="265">
        <f>M106+M96</f>
        <v>42549</v>
      </c>
      <c r="N107" s="265">
        <f>N106+N96</f>
        <v>44576</v>
      </c>
    </row>
    <row r="108" spans="2:25" s="50" customFormat="1" collapsed="1" x14ac:dyDescent="0.3">
      <c r="B108" s="21"/>
      <c r="C108" s="112"/>
      <c r="D108" s="1">
        <f>D107-D81</f>
        <v>0</v>
      </c>
      <c r="E108" s="1">
        <f>E107-E81</f>
        <v>0</v>
      </c>
      <c r="F108" s="1">
        <f>F107-F81</f>
        <v>0</v>
      </c>
      <c r="G108" s="1">
        <f>G107-G81</f>
        <v>0</v>
      </c>
      <c r="H108" s="1">
        <f>H107-H81</f>
        <v>0</v>
      </c>
      <c r="I108" s="1">
        <f>I107-I81</f>
        <v>0</v>
      </c>
      <c r="J108" s="1">
        <f>J107-J81</f>
        <v>0</v>
      </c>
      <c r="K108" s="1">
        <f>K107-K81</f>
        <v>0</v>
      </c>
      <c r="L108" s="1">
        <f>L107-L81</f>
        <v>0</v>
      </c>
      <c r="M108" s="1">
        <f>M107-M81</f>
        <v>0</v>
      </c>
      <c r="N108" s="1">
        <f>N107-N81</f>
        <v>0</v>
      </c>
    </row>
    <row r="109" spans="2:25" s="50" customFormat="1" ht="15.6" x14ac:dyDescent="0.3">
      <c r="B109" s="167" t="s">
        <v>65</v>
      </c>
      <c r="C109" s="168"/>
      <c r="D109" s="1"/>
      <c r="E109" s="1"/>
      <c r="F109" s="1"/>
      <c r="G109" s="1"/>
      <c r="H109" s="1"/>
      <c r="I109" s="9"/>
      <c r="J109" s="1"/>
      <c r="K109" s="139"/>
      <c r="L109" s="139"/>
      <c r="M109" s="139"/>
    </row>
    <row r="110" spans="2:25" s="50" customFormat="1" hidden="1" outlineLevel="1" x14ac:dyDescent="0.3">
      <c r="B110" s="169" t="s">
        <v>0</v>
      </c>
      <c r="C110" s="170"/>
      <c r="D110" s="53" t="s">
        <v>101</v>
      </c>
      <c r="E110" s="53" t="s">
        <v>102</v>
      </c>
      <c r="F110" s="53" t="s">
        <v>103</v>
      </c>
      <c r="G110" s="53" t="s">
        <v>161</v>
      </c>
      <c r="H110" s="53" t="s">
        <v>161</v>
      </c>
      <c r="I110" s="53" t="s">
        <v>183</v>
      </c>
      <c r="J110" s="53" t="s">
        <v>184</v>
      </c>
      <c r="K110" s="53" t="s">
        <v>185</v>
      </c>
      <c r="L110" s="53" t="s">
        <v>166</v>
      </c>
      <c r="M110" s="53" t="s">
        <v>166</v>
      </c>
      <c r="N110" s="53" t="s">
        <v>136</v>
      </c>
    </row>
    <row r="111" spans="2:25" s="50" customFormat="1" ht="16.2" hidden="1" outlineLevel="1" x14ac:dyDescent="0.45">
      <c r="B111" s="169"/>
      <c r="C111" s="170"/>
      <c r="D111" s="54" t="s">
        <v>165</v>
      </c>
      <c r="E111" s="54" t="s">
        <v>164</v>
      </c>
      <c r="F111" s="54" t="s">
        <v>163</v>
      </c>
      <c r="G111" s="54" t="s">
        <v>162</v>
      </c>
      <c r="H111" s="54" t="s">
        <v>11</v>
      </c>
      <c r="I111" s="54" t="s">
        <v>167</v>
      </c>
      <c r="J111" s="54" t="s">
        <v>168</v>
      </c>
      <c r="K111" s="54" t="s">
        <v>169</v>
      </c>
      <c r="L111" s="54" t="s">
        <v>170</v>
      </c>
      <c r="M111" s="54" t="s">
        <v>39</v>
      </c>
      <c r="N111" s="54" t="s">
        <v>172</v>
      </c>
    </row>
    <row r="112" spans="2:25" s="50" customFormat="1" hidden="1" outlineLevel="1" x14ac:dyDescent="0.3">
      <c r="B112" s="163" t="s">
        <v>66</v>
      </c>
      <c r="C112" s="164"/>
      <c r="D112" s="137"/>
      <c r="E112" s="22"/>
      <c r="F112" s="22"/>
      <c r="G112" s="140"/>
      <c r="H112" s="138"/>
      <c r="I112" s="141"/>
      <c r="J112" s="142"/>
      <c r="K112" s="143"/>
      <c r="L112" s="143"/>
      <c r="M112" s="144"/>
      <c r="N112" s="248"/>
    </row>
    <row r="113" spans="2:14" s="50" customFormat="1" hidden="1" outlineLevel="1" x14ac:dyDescent="0.3">
      <c r="B113" s="165" t="s">
        <v>67</v>
      </c>
      <c r="C113" s="166"/>
      <c r="D113" s="249">
        <f>D23</f>
        <v>1379</v>
      </c>
      <c r="E113" s="115">
        <f>3429-D113</f>
        <v>2050</v>
      </c>
      <c r="F113" s="115">
        <f>4966-E113-D113</f>
        <v>1537</v>
      </c>
      <c r="G113" s="250">
        <f>6345-F113-E113-D113</f>
        <v>1379</v>
      </c>
      <c r="H113" s="253">
        <f>SUM(D113:G113)</f>
        <v>6345</v>
      </c>
      <c r="I113" s="249">
        <f>I23</f>
        <v>1579</v>
      </c>
      <c r="J113" s="115">
        <f>J23</f>
        <v>2234</v>
      </c>
      <c r="K113" s="115">
        <f>5538-J113-I113</f>
        <v>1725</v>
      </c>
      <c r="L113" s="250">
        <f>7009-K113-J113-I113</f>
        <v>1471</v>
      </c>
      <c r="M113" s="251">
        <v>7009</v>
      </c>
      <c r="N113" s="271">
        <v>1803</v>
      </c>
    </row>
    <row r="114" spans="2:14" s="50" customFormat="1" hidden="1" outlineLevel="1" x14ac:dyDescent="0.3">
      <c r="B114" s="165" t="s">
        <v>68</v>
      </c>
      <c r="C114" s="166"/>
      <c r="D114" s="249">
        <v>447</v>
      </c>
      <c r="E114" s="115">
        <f>896-D114</f>
        <v>449</v>
      </c>
      <c r="F114" s="115">
        <f>1345-E114-D114</f>
        <v>449</v>
      </c>
      <c r="G114" s="250">
        <f>1786-F114-E114-D114</f>
        <v>441</v>
      </c>
      <c r="H114" s="253">
        <f t="shared" ref="H114:H154" si="84">SUM(D114:G114)</f>
        <v>1786</v>
      </c>
      <c r="I114" s="249">
        <v>454</v>
      </c>
      <c r="J114" s="115">
        <f>915-I114</f>
        <v>461</v>
      </c>
      <c r="K114" s="115">
        <f>1384-J114-I114</f>
        <v>469</v>
      </c>
      <c r="L114" s="115">
        <f>1863-K114-J114-I114</f>
        <v>479</v>
      </c>
      <c r="M114" s="251">
        <f>SUM(I114:L114)</f>
        <v>1863</v>
      </c>
      <c r="N114" s="271">
        <v>486</v>
      </c>
    </row>
    <row r="115" spans="2:14" s="50" customFormat="1" hidden="1" outlineLevel="1" x14ac:dyDescent="0.3">
      <c r="B115" s="95" t="s">
        <v>69</v>
      </c>
      <c r="C115" s="96"/>
      <c r="D115" s="249">
        <v>67</v>
      </c>
      <c r="E115" s="279">
        <f>119-D115</f>
        <v>52</v>
      </c>
      <c r="F115" s="279">
        <f>174-E115-D115</f>
        <v>55</v>
      </c>
      <c r="G115" s="250">
        <f>225-F115-E115-D115</f>
        <v>51</v>
      </c>
      <c r="H115" s="253">
        <f t="shared" si="84"/>
        <v>225</v>
      </c>
      <c r="I115" s="280">
        <v>69</v>
      </c>
      <c r="J115" s="279">
        <f>122-I115</f>
        <v>53</v>
      </c>
      <c r="K115" s="279">
        <f>177-J115-I115</f>
        <v>55</v>
      </c>
      <c r="L115" s="115">
        <f>244-K115-J115-I115</f>
        <v>67</v>
      </c>
      <c r="M115" s="251">
        <f t="shared" ref="M115:M119" si="85">SUM(I115:L115)</f>
        <v>244</v>
      </c>
      <c r="N115" s="271">
        <v>72</v>
      </c>
    </row>
    <row r="116" spans="2:14" s="50" customFormat="1" hidden="1" outlineLevel="1" x14ac:dyDescent="0.3">
      <c r="B116" s="117" t="s">
        <v>91</v>
      </c>
      <c r="C116" s="118"/>
      <c r="D116" s="281" t="s">
        <v>125</v>
      </c>
      <c r="E116" s="279"/>
      <c r="F116" s="279"/>
      <c r="G116" s="282"/>
      <c r="H116" s="253">
        <f t="shared" si="84"/>
        <v>0</v>
      </c>
      <c r="I116" s="280"/>
      <c r="J116" s="279"/>
      <c r="K116" s="279"/>
      <c r="L116" s="115"/>
      <c r="M116" s="251">
        <f t="shared" si="85"/>
        <v>0</v>
      </c>
      <c r="N116" s="271"/>
    </row>
    <row r="117" spans="2:14" s="50" customFormat="1" hidden="1" outlineLevel="1" x14ac:dyDescent="0.3">
      <c r="B117" s="117" t="s">
        <v>92</v>
      </c>
      <c r="C117" s="118"/>
      <c r="D117" s="281" t="s">
        <v>125</v>
      </c>
      <c r="E117" s="279"/>
      <c r="F117" s="279"/>
      <c r="G117" s="282"/>
      <c r="H117" s="253">
        <f t="shared" si="84"/>
        <v>0</v>
      </c>
      <c r="I117" s="280"/>
      <c r="J117" s="279"/>
      <c r="K117" s="279"/>
      <c r="L117" s="115"/>
      <c r="M117" s="251">
        <f t="shared" si="85"/>
        <v>0</v>
      </c>
      <c r="N117" s="271"/>
    </row>
    <row r="118" spans="2:14" s="50" customFormat="1" hidden="1" outlineLevel="1" x14ac:dyDescent="0.3">
      <c r="B118" s="165" t="s">
        <v>93</v>
      </c>
      <c r="C118" s="166"/>
      <c r="D118" s="281" t="s">
        <v>125</v>
      </c>
      <c r="E118" s="279"/>
      <c r="F118" s="279"/>
      <c r="G118" s="282"/>
      <c r="H118" s="253">
        <f t="shared" si="84"/>
        <v>0</v>
      </c>
      <c r="I118" s="280"/>
      <c r="J118" s="279"/>
      <c r="K118" s="279"/>
      <c r="L118" s="115"/>
      <c r="M118" s="251">
        <f t="shared" si="85"/>
        <v>0</v>
      </c>
      <c r="N118" s="271"/>
    </row>
    <row r="119" spans="2:14" s="50" customFormat="1" hidden="1" outlineLevel="1" x14ac:dyDescent="0.3">
      <c r="B119" s="95" t="s">
        <v>94</v>
      </c>
      <c r="C119" s="96"/>
      <c r="D119" s="281" t="s">
        <v>125</v>
      </c>
      <c r="E119" s="279"/>
      <c r="F119" s="279"/>
      <c r="G119" s="282">
        <v>-323</v>
      </c>
      <c r="H119" s="253">
        <f t="shared" si="84"/>
        <v>-323</v>
      </c>
      <c r="I119" s="280"/>
      <c r="J119" s="279">
        <v>-144</v>
      </c>
      <c r="K119" s="279">
        <f>-144-J119</f>
        <v>0</v>
      </c>
      <c r="L119" s="115" t="s">
        <v>125</v>
      </c>
      <c r="M119" s="251">
        <f t="shared" si="85"/>
        <v>-144</v>
      </c>
      <c r="N119" s="271"/>
    </row>
    <row r="120" spans="2:14" s="50" customFormat="1" ht="4.5" hidden="1" customHeight="1" outlineLevel="1" x14ac:dyDescent="0.3">
      <c r="B120" s="161"/>
      <c r="C120" s="162"/>
      <c r="D120" s="249"/>
      <c r="E120" s="279"/>
      <c r="F120" s="279"/>
      <c r="G120" s="282"/>
      <c r="H120" s="253">
        <f t="shared" si="84"/>
        <v>0</v>
      </c>
      <c r="I120" s="280"/>
      <c r="J120" s="279"/>
      <c r="K120" s="279"/>
      <c r="L120" s="115"/>
      <c r="M120" s="251"/>
      <c r="N120" s="271"/>
    </row>
    <row r="121" spans="2:14" s="50" customFormat="1" hidden="1" outlineLevel="1" x14ac:dyDescent="0.3">
      <c r="B121" s="163" t="s">
        <v>70</v>
      </c>
      <c r="C121" s="164"/>
      <c r="D121" s="249"/>
      <c r="E121" s="279"/>
      <c r="F121" s="279"/>
      <c r="G121" s="282"/>
      <c r="H121" s="253">
        <f t="shared" si="84"/>
        <v>0</v>
      </c>
      <c r="I121" s="280"/>
      <c r="J121" s="279"/>
      <c r="K121" s="279"/>
      <c r="L121" s="279"/>
      <c r="M121" s="251"/>
      <c r="N121" s="271"/>
    </row>
    <row r="122" spans="2:14" s="50" customFormat="1" hidden="1" outlineLevel="1" x14ac:dyDescent="0.3">
      <c r="B122" s="157" t="s">
        <v>71</v>
      </c>
      <c r="C122" s="158"/>
      <c r="D122" s="249">
        <v>-433</v>
      </c>
      <c r="E122" s="115">
        <f>-239-D122</f>
        <v>194</v>
      </c>
      <c r="F122" s="115">
        <f>-221-E122-D122</f>
        <v>18</v>
      </c>
      <c r="G122" s="250">
        <f>-81-F122-E122-D122</f>
        <v>140</v>
      </c>
      <c r="H122" s="253">
        <f t="shared" si="84"/>
        <v>-81</v>
      </c>
      <c r="I122" s="249">
        <v>-347</v>
      </c>
      <c r="J122" s="115">
        <f>-232-I122</f>
        <v>115</v>
      </c>
      <c r="K122" s="115">
        <f>-220-J122-I122</f>
        <v>12</v>
      </c>
      <c r="L122" s="115">
        <f>-181-K122-J122-I122</f>
        <v>39</v>
      </c>
      <c r="M122" s="253">
        <f t="shared" ref="M122:M139" si="86">SUM(I122:L122)</f>
        <v>-181</v>
      </c>
      <c r="N122" s="271">
        <v>-57</v>
      </c>
    </row>
    <row r="123" spans="2:14" s="50" customFormat="1" hidden="1" outlineLevel="1" x14ac:dyDescent="0.3">
      <c r="B123" s="121" t="s">
        <v>121</v>
      </c>
      <c r="C123" s="122"/>
      <c r="D123" s="249">
        <v>-1272</v>
      </c>
      <c r="E123" s="115">
        <f>-589-D123</f>
        <v>683</v>
      </c>
      <c r="F123" s="115">
        <f>-975-E123-D123</f>
        <v>-386</v>
      </c>
      <c r="G123" s="250">
        <f>-124-F123-E123-D123</f>
        <v>851</v>
      </c>
      <c r="H123" s="253">
        <f t="shared" si="84"/>
        <v>-124</v>
      </c>
      <c r="I123" s="249">
        <v>-1198</v>
      </c>
      <c r="J123" s="115">
        <f>-828-I123</f>
        <v>370</v>
      </c>
      <c r="K123" s="115">
        <f>-1176-J123-I123</f>
        <v>-348</v>
      </c>
      <c r="L123" s="115">
        <f>-546-K123-J123-I123</f>
        <v>630</v>
      </c>
      <c r="M123" s="253">
        <f t="shared" si="86"/>
        <v>-546</v>
      </c>
      <c r="N123" s="271">
        <v>-1319</v>
      </c>
    </row>
    <row r="124" spans="2:14" s="50" customFormat="1" hidden="1" outlineLevel="1" x14ac:dyDescent="0.3">
      <c r="B124" s="157" t="s">
        <v>72</v>
      </c>
      <c r="C124" s="158"/>
      <c r="D124" s="249">
        <v>-8</v>
      </c>
      <c r="E124" s="41">
        <f>-111-D124</f>
        <v>-103</v>
      </c>
      <c r="F124" s="115">
        <f>-87-E124-D124</f>
        <v>24</v>
      </c>
      <c r="G124" s="250">
        <f>-199-D124-E124-F124</f>
        <v>-112</v>
      </c>
      <c r="H124" s="253">
        <f t="shared" si="84"/>
        <v>-199</v>
      </c>
      <c r="I124" s="249">
        <v>70</v>
      </c>
      <c r="J124" s="115">
        <f>-17-I124</f>
        <v>-87</v>
      </c>
      <c r="K124" s="115">
        <f>57-J124-I124</f>
        <v>74</v>
      </c>
      <c r="L124" s="115">
        <f>-5-K124-J124-I124</f>
        <v>-62</v>
      </c>
      <c r="M124" s="253">
        <f>SUM(I124:L124)</f>
        <v>-5</v>
      </c>
      <c r="N124" s="271">
        <v>44</v>
      </c>
    </row>
    <row r="125" spans="2:14" s="50" customFormat="1" hidden="1" outlineLevel="1" x14ac:dyDescent="0.3">
      <c r="B125" s="157" t="s">
        <v>133</v>
      </c>
      <c r="C125" s="158"/>
      <c r="D125" s="249">
        <v>1702</v>
      </c>
      <c r="E125" s="115">
        <f>-111-D125</f>
        <v>-1813</v>
      </c>
      <c r="F125" s="115">
        <f>1063-E125-D125</f>
        <v>1174</v>
      </c>
      <c r="G125" s="250">
        <f>244-F125-E125-D125</f>
        <v>-819</v>
      </c>
      <c r="H125" s="253">
        <f t="shared" si="84"/>
        <v>244</v>
      </c>
      <c r="I125" s="249">
        <v>2128</v>
      </c>
      <c r="J125" s="115">
        <f>2017-I125</f>
        <v>-111</v>
      </c>
      <c r="K125" s="115">
        <f>1582-J125-I125</f>
        <v>-435</v>
      </c>
      <c r="L125" s="115">
        <f>888-K125-J125-I125</f>
        <v>-694</v>
      </c>
      <c r="M125" s="251">
        <f t="shared" si="86"/>
        <v>888</v>
      </c>
      <c r="N125" s="271">
        <v>1828</v>
      </c>
    </row>
    <row r="126" spans="2:14" s="50" customFormat="1" hidden="1" outlineLevel="1" x14ac:dyDescent="0.3">
      <c r="B126" s="121" t="s">
        <v>122</v>
      </c>
      <c r="C126" s="122"/>
      <c r="D126" s="249">
        <v>102</v>
      </c>
      <c r="E126" s="115">
        <f>164-D126</f>
        <v>62</v>
      </c>
      <c r="F126" s="115">
        <f>88-E126-D126</f>
        <v>-76</v>
      </c>
      <c r="G126" s="250">
        <f>146-F126-E126-D126</f>
        <v>58</v>
      </c>
      <c r="H126" s="253">
        <f t="shared" si="84"/>
        <v>146</v>
      </c>
      <c r="I126" s="249">
        <v>131</v>
      </c>
      <c r="J126" s="115">
        <f>187-I126</f>
        <v>56</v>
      </c>
      <c r="K126" s="115">
        <f>50-J126-I126</f>
        <v>-137</v>
      </c>
      <c r="L126" s="115">
        <f>109-K126-J126-I126</f>
        <v>59</v>
      </c>
      <c r="M126" s="251">
        <f t="shared" si="86"/>
        <v>109</v>
      </c>
      <c r="N126" s="271">
        <v>30</v>
      </c>
    </row>
    <row r="127" spans="2:14" s="50" customFormat="1" hidden="1" outlineLevel="1" x14ac:dyDescent="0.3">
      <c r="B127" s="121" t="s">
        <v>113</v>
      </c>
      <c r="C127" s="122"/>
      <c r="D127" s="249">
        <v>622</v>
      </c>
      <c r="E127" s="115">
        <f>446-D127</f>
        <v>-176</v>
      </c>
      <c r="F127" s="115">
        <f>191-E127-D127</f>
        <v>-255</v>
      </c>
      <c r="G127" s="250">
        <f>168-F127-E127-D127</f>
        <v>-23</v>
      </c>
      <c r="H127" s="253">
        <f t="shared" si="84"/>
        <v>168</v>
      </c>
      <c r="I127" s="249">
        <v>704</v>
      </c>
      <c r="J127" s="115">
        <f>287-I127</f>
        <v>-417</v>
      </c>
      <c r="K127" s="115">
        <f>295-J127-I127</f>
        <v>8</v>
      </c>
      <c r="L127" s="115">
        <f>154-K127-J127-I127</f>
        <v>-141</v>
      </c>
      <c r="M127" s="251">
        <f t="shared" si="86"/>
        <v>154</v>
      </c>
      <c r="N127" s="271">
        <v>844</v>
      </c>
    </row>
    <row r="128" spans="2:14" s="50" customFormat="1" hidden="1" outlineLevel="1" x14ac:dyDescent="0.3">
      <c r="B128" s="121" t="s">
        <v>117</v>
      </c>
      <c r="C128" s="122"/>
      <c r="D128" s="249">
        <v>64</v>
      </c>
      <c r="E128" s="115">
        <f>54-D128</f>
        <v>-10</v>
      </c>
      <c r="F128" s="115">
        <f>25-E128-D128</f>
        <v>-29</v>
      </c>
      <c r="G128" s="250">
        <f>159-F128-E128-D128</f>
        <v>134</v>
      </c>
      <c r="H128" s="253">
        <f t="shared" si="84"/>
        <v>159</v>
      </c>
      <c r="I128" s="249">
        <v>-100</v>
      </c>
      <c r="J128" s="115">
        <f>-81-I128</f>
        <v>19</v>
      </c>
      <c r="K128" s="115">
        <f>-148-J128-I128</f>
        <v>-67</v>
      </c>
      <c r="L128" s="115">
        <f>15-K128-J128-I128</f>
        <v>163</v>
      </c>
      <c r="M128" s="251">
        <f t="shared" si="86"/>
        <v>15</v>
      </c>
      <c r="N128" s="271">
        <v>-78</v>
      </c>
    </row>
    <row r="129" spans="2:14" s="50" customFormat="1" ht="16.2" hidden="1" outlineLevel="1" x14ac:dyDescent="0.45">
      <c r="B129" s="97" t="s">
        <v>85</v>
      </c>
      <c r="C129" s="98"/>
      <c r="D129" s="201">
        <v>-102</v>
      </c>
      <c r="E129" s="202">
        <f>-250-D129</f>
        <v>-148</v>
      </c>
      <c r="F129" s="202">
        <f>-322-E129-D129</f>
        <v>-72</v>
      </c>
      <c r="G129" s="266">
        <f>-104-F129-E129-D129</f>
        <v>218</v>
      </c>
      <c r="H129" s="267">
        <v>-152</v>
      </c>
      <c r="I129" s="201">
        <v>-86</v>
      </c>
      <c r="J129" s="202">
        <f>-105-I129</f>
        <v>-19</v>
      </c>
      <c r="K129" s="202">
        <f>-29-J129-I129</f>
        <v>76</v>
      </c>
      <c r="L129" s="202">
        <f>-33-I129-J129-K129</f>
        <v>-4</v>
      </c>
      <c r="M129" s="203">
        <f>SUM(I129:L129)</f>
        <v>-33</v>
      </c>
      <c r="N129" s="272">
        <v>-17</v>
      </c>
    </row>
    <row r="130" spans="2:14" s="50" customFormat="1" hidden="1" outlineLevel="1" x14ac:dyDescent="0.3">
      <c r="B130" s="159" t="s">
        <v>73</v>
      </c>
      <c r="C130" s="160"/>
      <c r="D130" s="205">
        <f>SUM(D113:D129)</f>
        <v>2568</v>
      </c>
      <c r="E130" s="206">
        <f>SUM(E113:E129)</f>
        <v>1240</v>
      </c>
      <c r="F130" s="206">
        <f>SUM(F113:F129)</f>
        <v>2439</v>
      </c>
      <c r="G130" s="254">
        <f>SUM(G113:G129)</f>
        <v>1995</v>
      </c>
      <c r="H130" s="255">
        <f>SUM(D130:G130)</f>
        <v>8242</v>
      </c>
      <c r="I130" s="205">
        <f>SUM(I113:I129)</f>
        <v>3404</v>
      </c>
      <c r="J130" s="206">
        <f>SUM(J113:J129)</f>
        <v>2530</v>
      </c>
      <c r="K130" s="206">
        <f>SUM(K113:K129)</f>
        <v>1432</v>
      </c>
      <c r="L130" s="206">
        <f>SUM(L113:L129)</f>
        <v>2007</v>
      </c>
      <c r="M130" s="207">
        <f>SUM(I130:L130)</f>
        <v>9373</v>
      </c>
      <c r="N130" s="286">
        <v>3636</v>
      </c>
    </row>
    <row r="131" spans="2:14" s="50" customFormat="1" ht="4.5" hidden="1" customHeight="1" outlineLevel="1" x14ac:dyDescent="0.3">
      <c r="B131" s="161"/>
      <c r="C131" s="162"/>
      <c r="D131" s="249"/>
      <c r="E131" s="115"/>
      <c r="F131" s="115"/>
      <c r="G131" s="250"/>
      <c r="H131" s="253">
        <f t="shared" si="84"/>
        <v>0</v>
      </c>
      <c r="I131" s="249"/>
      <c r="J131" s="115"/>
      <c r="K131" s="115"/>
      <c r="L131" s="115"/>
      <c r="M131" s="251">
        <f t="shared" si="86"/>
        <v>0</v>
      </c>
      <c r="N131" s="271"/>
    </row>
    <row r="132" spans="2:14" s="50" customFormat="1" hidden="1" outlineLevel="1" x14ac:dyDescent="0.3">
      <c r="B132" s="163" t="s">
        <v>74</v>
      </c>
      <c r="C132" s="164"/>
      <c r="D132" s="249"/>
      <c r="E132" s="115"/>
      <c r="F132" s="115"/>
      <c r="G132" s="250"/>
      <c r="H132" s="253">
        <f t="shared" si="84"/>
        <v>0</v>
      </c>
      <c r="I132" s="249"/>
      <c r="J132" s="115"/>
      <c r="K132" s="115"/>
      <c r="L132" s="115"/>
      <c r="M132" s="251">
        <f t="shared" si="86"/>
        <v>0</v>
      </c>
      <c r="N132" s="271"/>
    </row>
    <row r="133" spans="2:14" s="50" customFormat="1" hidden="1" outlineLevel="1" x14ac:dyDescent="0.3">
      <c r="B133" s="157" t="s">
        <v>123</v>
      </c>
      <c r="C133" s="158"/>
      <c r="D133" s="249">
        <v>-287</v>
      </c>
      <c r="E133" s="115">
        <f>-631-D133</f>
        <v>-344</v>
      </c>
      <c r="F133" s="115">
        <f>-999-E133-D133</f>
        <v>-368</v>
      </c>
      <c r="G133" s="250">
        <f>-1442-F133-E133-D133</f>
        <v>-443</v>
      </c>
      <c r="H133" s="253">
        <f t="shared" si="84"/>
        <v>-1442</v>
      </c>
      <c r="I133" s="249">
        <v>-322</v>
      </c>
      <c r="J133" s="115">
        <f>-705-I133</f>
        <v>-383</v>
      </c>
      <c r="K133" s="115">
        <f>-1083-J133-I133</f>
        <v>-378</v>
      </c>
      <c r="L133" s="115">
        <f>-1503-K133-J133-I133</f>
        <v>-420</v>
      </c>
      <c r="M133" s="251">
        <f t="shared" si="86"/>
        <v>-1503</v>
      </c>
      <c r="N133" s="271">
        <v>-325</v>
      </c>
    </row>
    <row r="134" spans="2:14" s="50" customFormat="1" hidden="1" outlineLevel="1" x14ac:dyDescent="0.3">
      <c r="B134" s="157" t="s">
        <v>95</v>
      </c>
      <c r="C134" s="158"/>
      <c r="D134" s="281" t="s">
        <v>125</v>
      </c>
      <c r="E134" s="115"/>
      <c r="F134" s="115"/>
      <c r="G134" s="250"/>
      <c r="H134" s="253">
        <f t="shared" si="84"/>
        <v>0</v>
      </c>
      <c r="I134" s="249"/>
      <c r="J134" s="115"/>
      <c r="K134" s="115"/>
      <c r="L134" s="115"/>
      <c r="M134" s="251">
        <f t="shared" si="86"/>
        <v>0</v>
      </c>
      <c r="N134" s="271"/>
    </row>
    <row r="135" spans="2:14" s="50" customFormat="1" hidden="1" outlineLevel="1" x14ac:dyDescent="0.3">
      <c r="B135" s="119" t="s">
        <v>132</v>
      </c>
      <c r="C135" s="120"/>
      <c r="D135" s="281" t="s">
        <v>125</v>
      </c>
      <c r="E135" s="115">
        <v>112</v>
      </c>
      <c r="F135" s="115">
        <f>212-E135</f>
        <v>100</v>
      </c>
      <c r="G135" s="250">
        <f>323-F135-E135</f>
        <v>111</v>
      </c>
      <c r="H135" s="253">
        <f t="shared" si="84"/>
        <v>323</v>
      </c>
      <c r="I135" s="249"/>
      <c r="J135" s="115">
        <v>144</v>
      </c>
      <c r="K135" s="115" t="s">
        <v>125</v>
      </c>
      <c r="L135" s="115" t="s">
        <v>125</v>
      </c>
      <c r="M135" s="251">
        <f t="shared" si="86"/>
        <v>144</v>
      </c>
      <c r="N135" s="271"/>
    </row>
    <row r="136" spans="2:14" s="50" customFormat="1" hidden="1" outlineLevel="1" x14ac:dyDescent="0.3">
      <c r="B136" s="119" t="s">
        <v>126</v>
      </c>
      <c r="C136" s="120"/>
      <c r="D136" s="249">
        <v>7</v>
      </c>
      <c r="E136" s="115">
        <f>16-D136</f>
        <v>9</v>
      </c>
      <c r="F136" s="115">
        <f>20-E136</f>
        <v>11</v>
      </c>
      <c r="G136" s="250">
        <f>48-F136-E136-D136</f>
        <v>21</v>
      </c>
      <c r="H136" s="253">
        <f t="shared" si="84"/>
        <v>48</v>
      </c>
      <c r="I136" s="249">
        <v>5</v>
      </c>
      <c r="J136" s="115">
        <f>8-I136</f>
        <v>3</v>
      </c>
      <c r="K136" s="115">
        <f>24-J136-I136</f>
        <v>16</v>
      </c>
      <c r="L136" s="115">
        <f>43-K136-J136-I136</f>
        <v>19</v>
      </c>
      <c r="M136" s="251">
        <f t="shared" si="86"/>
        <v>43</v>
      </c>
      <c r="N136" s="271">
        <v>4</v>
      </c>
    </row>
    <row r="137" spans="2:14" s="50" customFormat="1" hidden="1" outlineLevel="1" x14ac:dyDescent="0.3">
      <c r="B137" s="119" t="s">
        <v>96</v>
      </c>
      <c r="C137" s="120"/>
      <c r="D137" s="281" t="s">
        <v>125</v>
      </c>
      <c r="E137" s="115"/>
      <c r="F137" s="115"/>
      <c r="G137" s="250"/>
      <c r="H137" s="253">
        <f t="shared" si="84"/>
        <v>0</v>
      </c>
      <c r="I137" s="249"/>
      <c r="J137" s="115"/>
      <c r="K137" s="115"/>
      <c r="L137" s="115"/>
      <c r="M137" s="251">
        <f t="shared" si="86"/>
        <v>0</v>
      </c>
      <c r="N137" s="271"/>
    </row>
    <row r="138" spans="2:14" s="50" customFormat="1" hidden="1" outlineLevel="1" x14ac:dyDescent="0.3">
      <c r="B138" s="119" t="s">
        <v>124</v>
      </c>
      <c r="C138" s="120"/>
      <c r="D138" s="281" t="s">
        <v>125</v>
      </c>
      <c r="E138" s="115"/>
      <c r="F138" s="115"/>
      <c r="G138" s="250">
        <v>-200</v>
      </c>
      <c r="H138" s="253">
        <f t="shared" si="84"/>
        <v>-200</v>
      </c>
      <c r="I138" s="249"/>
      <c r="J138" s="115"/>
      <c r="K138" s="115">
        <v>-1662</v>
      </c>
      <c r="L138" s="115">
        <f>-1666-K138</f>
        <v>-4</v>
      </c>
      <c r="M138" s="251">
        <f t="shared" si="86"/>
        <v>-1666</v>
      </c>
      <c r="N138" s="271"/>
    </row>
    <row r="139" spans="2:14" s="50" customFormat="1" ht="16.2" hidden="1" outlineLevel="1" x14ac:dyDescent="0.45">
      <c r="B139" s="97" t="s">
        <v>97</v>
      </c>
      <c r="C139" s="113"/>
      <c r="D139" s="283" t="s">
        <v>125</v>
      </c>
      <c r="E139" s="202">
        <v>0</v>
      </c>
      <c r="F139" s="202">
        <v>0</v>
      </c>
      <c r="G139" s="266">
        <v>0</v>
      </c>
      <c r="H139" s="267">
        <f t="shared" si="84"/>
        <v>0</v>
      </c>
      <c r="I139" s="201">
        <v>0</v>
      </c>
      <c r="J139" s="202">
        <v>0</v>
      </c>
      <c r="K139" s="202">
        <v>0</v>
      </c>
      <c r="L139" s="202">
        <v>0</v>
      </c>
      <c r="M139" s="203">
        <f t="shared" si="86"/>
        <v>0</v>
      </c>
      <c r="N139" s="272">
        <v>0</v>
      </c>
    </row>
    <row r="140" spans="2:14" s="50" customFormat="1" hidden="1" outlineLevel="1" x14ac:dyDescent="0.3">
      <c r="B140" s="159" t="s">
        <v>75</v>
      </c>
      <c r="C140" s="160"/>
      <c r="D140" s="205">
        <f t="shared" ref="D140:M140" si="87">SUM(D133:D139)</f>
        <v>-280</v>
      </c>
      <c r="E140" s="206">
        <f t="shared" si="87"/>
        <v>-223</v>
      </c>
      <c r="F140" s="206">
        <f t="shared" si="87"/>
        <v>-257</v>
      </c>
      <c r="G140" s="254">
        <f t="shared" si="87"/>
        <v>-511</v>
      </c>
      <c r="H140" s="255">
        <f t="shared" si="84"/>
        <v>-1271</v>
      </c>
      <c r="I140" s="205">
        <f t="shared" si="87"/>
        <v>-317</v>
      </c>
      <c r="J140" s="206">
        <f t="shared" si="87"/>
        <v>-236</v>
      </c>
      <c r="K140" s="206">
        <f t="shared" si="87"/>
        <v>-2024</v>
      </c>
      <c r="L140" s="206">
        <f t="shared" si="87"/>
        <v>-405</v>
      </c>
      <c r="M140" s="207">
        <f t="shared" si="87"/>
        <v>-2982</v>
      </c>
      <c r="N140" s="286">
        <v>-321</v>
      </c>
    </row>
    <row r="141" spans="2:14" s="50" customFormat="1" ht="4.5" hidden="1" customHeight="1" outlineLevel="1" x14ac:dyDescent="0.3">
      <c r="B141" s="161"/>
      <c r="C141" s="162"/>
      <c r="D141" s="249"/>
      <c r="E141" s="115"/>
      <c r="F141" s="115"/>
      <c r="G141" s="250"/>
      <c r="H141" s="253">
        <f t="shared" si="84"/>
        <v>0</v>
      </c>
      <c r="I141" s="249"/>
      <c r="J141" s="115"/>
      <c r="K141" s="115"/>
      <c r="L141" s="115"/>
      <c r="M141" s="251"/>
      <c r="N141" s="271"/>
    </row>
    <row r="142" spans="2:14" s="50" customFormat="1" hidden="1" outlineLevel="1" x14ac:dyDescent="0.3">
      <c r="B142" s="163" t="s">
        <v>76</v>
      </c>
      <c r="C142" s="164"/>
      <c r="D142" s="249"/>
      <c r="E142" s="115"/>
      <c r="F142" s="115"/>
      <c r="G142" s="250"/>
      <c r="H142" s="253">
        <f t="shared" si="84"/>
        <v>0</v>
      </c>
      <c r="I142" s="249"/>
      <c r="J142" s="115"/>
      <c r="K142" s="115"/>
      <c r="L142" s="115"/>
      <c r="M142" s="251"/>
      <c r="N142" s="271"/>
    </row>
    <row r="143" spans="2:14" s="50" customFormat="1" hidden="1" outlineLevel="1" x14ac:dyDescent="0.3">
      <c r="B143" s="97" t="s">
        <v>127</v>
      </c>
      <c r="C143" s="98"/>
      <c r="D143" s="281" t="s">
        <v>125</v>
      </c>
      <c r="E143" s="115">
        <v>1981</v>
      </c>
      <c r="F143" s="115">
        <v>0</v>
      </c>
      <c r="G143" s="250">
        <v>0</v>
      </c>
      <c r="H143" s="253">
        <f t="shared" si="84"/>
        <v>1981</v>
      </c>
      <c r="I143" s="249"/>
      <c r="J143" s="115">
        <v>2492</v>
      </c>
      <c r="K143" s="115">
        <f>3991-J143</f>
        <v>1499</v>
      </c>
      <c r="L143" s="115">
        <f>3991-K143-J143</f>
        <v>0</v>
      </c>
      <c r="M143" s="251">
        <f t="shared" ref="M143:M144" si="88">SUM(I143:L143)</f>
        <v>3991</v>
      </c>
      <c r="N143" s="271">
        <v>2989</v>
      </c>
    </row>
    <row r="144" spans="2:14" s="50" customFormat="1" hidden="1" outlineLevel="1" x14ac:dyDescent="0.3">
      <c r="B144" s="97" t="s">
        <v>128</v>
      </c>
      <c r="C144" s="98"/>
      <c r="D144" s="249">
        <v>-12</v>
      </c>
      <c r="E144" s="115">
        <f>(21)-D144</f>
        <v>33</v>
      </c>
      <c r="F144" s="115">
        <f>-30-E144-D144</f>
        <v>-51</v>
      </c>
      <c r="G144" s="250">
        <f>-39-F144-E144-D144</f>
        <v>-9</v>
      </c>
      <c r="H144" s="253">
        <f t="shared" si="84"/>
        <v>-39</v>
      </c>
      <c r="I144" s="249">
        <v>-10</v>
      </c>
      <c r="J144" s="115">
        <f>-19-I144</f>
        <v>-9</v>
      </c>
      <c r="K144" s="115">
        <f>-29-J144-I144</f>
        <v>-10</v>
      </c>
      <c r="L144" s="115">
        <f>-39-K144-J144-I144</f>
        <v>-10</v>
      </c>
      <c r="M144" s="251">
        <f t="shared" si="88"/>
        <v>-39</v>
      </c>
      <c r="N144" s="271">
        <v>-3012</v>
      </c>
    </row>
    <row r="145" spans="2:24" s="50" customFormat="1" hidden="1" outlineLevel="1" x14ac:dyDescent="0.3">
      <c r="B145" s="157" t="s">
        <v>129</v>
      </c>
      <c r="C145" s="158"/>
      <c r="D145" s="249">
        <v>-1250</v>
      </c>
      <c r="E145" s="115">
        <f>-3500-D145</f>
        <v>-2250</v>
      </c>
      <c r="F145" s="115">
        <f>-5578-E145-D145</f>
        <v>-2078</v>
      </c>
      <c r="G145" s="250">
        <f>-7000-F145-E145-D145</f>
        <v>-1422</v>
      </c>
      <c r="H145" s="253">
        <f t="shared" si="84"/>
        <v>-7000</v>
      </c>
      <c r="I145" s="249">
        <v>-1125</v>
      </c>
      <c r="J145" s="115">
        <f>-3085-I145</f>
        <v>-1960</v>
      </c>
      <c r="K145" s="115">
        <f>-5043-J145-I145</f>
        <v>-1958</v>
      </c>
      <c r="L145" s="115">
        <f>-7000-K145-J145-I145</f>
        <v>-1957</v>
      </c>
      <c r="M145" s="251">
        <f>SUM(I145:L145)</f>
        <v>-7000</v>
      </c>
      <c r="N145" s="271">
        <v>-1157</v>
      </c>
    </row>
    <row r="146" spans="2:24" s="50" customFormat="1" hidden="1" outlineLevel="1" x14ac:dyDescent="0.3">
      <c r="B146" s="157" t="s">
        <v>130</v>
      </c>
      <c r="C146" s="158"/>
      <c r="D146" s="249">
        <v>69</v>
      </c>
      <c r="E146" s="115">
        <f>148-D146</f>
        <v>79</v>
      </c>
      <c r="F146" s="115">
        <f>178-E146-D146</f>
        <v>30</v>
      </c>
      <c r="G146" s="250">
        <f>252-F146-E146-D146</f>
        <v>74</v>
      </c>
      <c r="H146" s="253">
        <f t="shared" si="84"/>
        <v>252</v>
      </c>
      <c r="I146" s="249">
        <v>47</v>
      </c>
      <c r="J146" s="115">
        <f>134-I146</f>
        <v>87</v>
      </c>
      <c r="K146" s="115">
        <f>149-J146-I146</f>
        <v>15</v>
      </c>
      <c r="L146" s="115">
        <f>228-K146-J146-I146</f>
        <v>79</v>
      </c>
      <c r="M146" s="251">
        <f t="shared" ref="M146:M150" si="89">SUM(I146:L146)</f>
        <v>228</v>
      </c>
      <c r="N146" s="271">
        <v>29</v>
      </c>
    </row>
    <row r="147" spans="2:24" s="50" customFormat="1" hidden="1" outlineLevel="1" x14ac:dyDescent="0.3">
      <c r="B147" s="157" t="s">
        <v>131</v>
      </c>
      <c r="C147" s="158"/>
      <c r="D147" s="249">
        <v>-646</v>
      </c>
      <c r="E147" s="115">
        <f>-1285-D147</f>
        <v>-639</v>
      </c>
      <c r="F147" s="115">
        <f>-1912-E147-D147</f>
        <v>-627</v>
      </c>
      <c r="G147" s="250">
        <f>-2530-F147-E147-D147</f>
        <v>-618</v>
      </c>
      <c r="H147" s="253">
        <f t="shared" si="84"/>
        <v>-2530</v>
      </c>
      <c r="I147" s="249">
        <v>-769</v>
      </c>
      <c r="J147" s="115">
        <f>-1533-I147</f>
        <v>-764</v>
      </c>
      <c r="K147" s="115">
        <f>-2287-J147-I147</f>
        <v>-754</v>
      </c>
      <c r="L147" s="115">
        <f>-3031-K147-J147-I147</f>
        <v>-744</v>
      </c>
      <c r="M147" s="251">
        <f t="shared" si="89"/>
        <v>-3031</v>
      </c>
      <c r="N147" s="271">
        <v>-862</v>
      </c>
    </row>
    <row r="148" spans="2:24" s="50" customFormat="1" hidden="1" outlineLevel="1" x14ac:dyDescent="0.3">
      <c r="B148" s="119" t="s">
        <v>134</v>
      </c>
      <c r="C148" s="120"/>
      <c r="D148" s="281" t="s">
        <v>125</v>
      </c>
      <c r="E148" s="115"/>
      <c r="F148" s="115"/>
      <c r="G148" s="250">
        <v>290</v>
      </c>
      <c r="H148" s="253">
        <f t="shared" si="84"/>
        <v>290</v>
      </c>
      <c r="I148" s="249">
        <v>-290</v>
      </c>
      <c r="J148" s="115">
        <f>-290-I148</f>
        <v>0</v>
      </c>
      <c r="K148" s="41" t="s">
        <v>125</v>
      </c>
      <c r="L148" s="115">
        <f>60-I148</f>
        <v>350</v>
      </c>
      <c r="M148" s="251">
        <f t="shared" si="89"/>
        <v>60</v>
      </c>
      <c r="N148" s="271"/>
    </row>
    <row r="149" spans="2:24" s="50" customFormat="1" hidden="1" outlineLevel="1" x14ac:dyDescent="0.3">
      <c r="B149" s="119" t="s">
        <v>98</v>
      </c>
      <c r="C149" s="120"/>
      <c r="D149" s="281" t="s">
        <v>125</v>
      </c>
      <c r="E149" s="115"/>
      <c r="F149" s="115"/>
      <c r="G149" s="250"/>
      <c r="H149" s="253">
        <f t="shared" si="84"/>
        <v>0</v>
      </c>
      <c r="I149" s="249"/>
      <c r="J149" s="115"/>
      <c r="K149" s="115"/>
      <c r="L149" s="115"/>
      <c r="M149" s="251">
        <f t="shared" si="89"/>
        <v>0</v>
      </c>
      <c r="N149" s="271"/>
    </row>
    <row r="150" spans="2:24" s="50" customFormat="1" hidden="1" outlineLevel="1" x14ac:dyDescent="0.3">
      <c r="B150" s="119" t="s">
        <v>99</v>
      </c>
      <c r="C150" s="120"/>
      <c r="D150" s="281" t="s">
        <v>125</v>
      </c>
      <c r="E150" s="115"/>
      <c r="F150" s="115"/>
      <c r="G150" s="250"/>
      <c r="H150" s="253">
        <f t="shared" si="84"/>
        <v>0</v>
      </c>
      <c r="I150" s="249"/>
      <c r="J150" s="115"/>
      <c r="K150" s="115"/>
      <c r="L150" s="115"/>
      <c r="M150" s="251">
        <f t="shared" si="89"/>
        <v>0</v>
      </c>
      <c r="N150" s="271"/>
    </row>
    <row r="151" spans="2:24" s="50" customFormat="1" ht="16.2" hidden="1" outlineLevel="1" x14ac:dyDescent="0.45">
      <c r="B151" s="157" t="s">
        <v>100</v>
      </c>
      <c r="C151" s="158"/>
      <c r="D151" s="201">
        <v>133</v>
      </c>
      <c r="E151" s="202">
        <f>181-D151</f>
        <v>48</v>
      </c>
      <c r="F151" s="202">
        <f>150-E151-D151</f>
        <v>-31</v>
      </c>
      <c r="G151" s="266">
        <f>-25-F151-E151-D151</f>
        <v>-175</v>
      </c>
      <c r="H151" s="267">
        <f t="shared" si="84"/>
        <v>-25</v>
      </c>
      <c r="I151" s="201">
        <v>146</v>
      </c>
      <c r="J151" s="202">
        <f>161-I151</f>
        <v>15</v>
      </c>
      <c r="K151" s="202">
        <f>86-J151-I151</f>
        <v>-75</v>
      </c>
      <c r="L151" s="202">
        <f>4-K151-J151-I151</f>
        <v>-82</v>
      </c>
      <c r="M151" s="203">
        <f>SUM(I151:L151)</f>
        <v>4</v>
      </c>
      <c r="N151" s="272">
        <v>25</v>
      </c>
    </row>
    <row r="152" spans="2:24" s="50" customFormat="1" hidden="1" outlineLevel="1" x14ac:dyDescent="0.3">
      <c r="B152" s="159" t="s">
        <v>77</v>
      </c>
      <c r="C152" s="160"/>
      <c r="D152" s="205">
        <f t="shared" ref="D152:M152" si="90">SUM(D143:D151)</f>
        <v>-1706</v>
      </c>
      <c r="E152" s="206">
        <f t="shared" si="90"/>
        <v>-748</v>
      </c>
      <c r="F152" s="206">
        <f t="shared" si="90"/>
        <v>-2757</v>
      </c>
      <c r="G152" s="254">
        <f t="shared" si="90"/>
        <v>-1860</v>
      </c>
      <c r="H152" s="255">
        <f t="shared" si="84"/>
        <v>-7071</v>
      </c>
      <c r="I152" s="205">
        <f t="shared" si="90"/>
        <v>-2001</v>
      </c>
      <c r="J152" s="206">
        <f t="shared" si="90"/>
        <v>-139</v>
      </c>
      <c r="K152" s="206">
        <f t="shared" si="90"/>
        <v>-1283</v>
      </c>
      <c r="L152" s="206">
        <f t="shared" si="90"/>
        <v>-2364</v>
      </c>
      <c r="M152" s="207">
        <f t="shared" si="90"/>
        <v>-5787</v>
      </c>
      <c r="N152" s="286">
        <v>-2338</v>
      </c>
    </row>
    <row r="153" spans="2:24" s="50" customFormat="1" hidden="1" outlineLevel="1" x14ac:dyDescent="0.3">
      <c r="B153" s="159" t="s">
        <v>78</v>
      </c>
      <c r="C153" s="160"/>
      <c r="D153" s="205">
        <f>D152+D140+D130</f>
        <v>582</v>
      </c>
      <c r="E153" s="260">
        <f t="shared" ref="E153:I153" si="91">E152+E140+E130</f>
        <v>269</v>
      </c>
      <c r="F153" s="260">
        <f t="shared" si="91"/>
        <v>-575</v>
      </c>
      <c r="G153" s="284">
        <f t="shared" si="91"/>
        <v>-376</v>
      </c>
      <c r="H153" s="255">
        <f t="shared" si="84"/>
        <v>-100</v>
      </c>
      <c r="I153" s="285">
        <f t="shared" si="91"/>
        <v>1086</v>
      </c>
      <c r="J153" s="260">
        <f>J152+J140+J130</f>
        <v>2155</v>
      </c>
      <c r="K153" s="206">
        <f t="shared" ref="K153:M153" si="92">K152+K140+K130</f>
        <v>-1875</v>
      </c>
      <c r="L153" s="260">
        <f t="shared" si="92"/>
        <v>-762</v>
      </c>
      <c r="M153" s="255">
        <f t="shared" si="92"/>
        <v>604</v>
      </c>
      <c r="N153" s="286">
        <v>977</v>
      </c>
    </row>
    <row r="154" spans="2:24" s="51" customFormat="1" ht="16.2" hidden="1" outlineLevel="1" x14ac:dyDescent="0.45">
      <c r="B154" s="97" t="s">
        <v>79</v>
      </c>
      <c r="C154" s="98"/>
      <c r="D154" s="283" t="s">
        <v>125</v>
      </c>
      <c r="E154" s="287">
        <v>1</v>
      </c>
      <c r="F154" s="287">
        <f>-17-E154</f>
        <v>-18</v>
      </c>
      <c r="G154" s="288">
        <f>-106-F154-E154</f>
        <v>-89</v>
      </c>
      <c r="H154" s="267">
        <f t="shared" si="84"/>
        <v>-106</v>
      </c>
      <c r="I154" s="289">
        <v>18</v>
      </c>
      <c r="J154" s="287">
        <f>-28-I154</f>
        <v>-46</v>
      </c>
      <c r="K154" s="202">
        <f>-49-J154-I154</f>
        <v>-21</v>
      </c>
      <c r="L154" s="287">
        <f>-111-K154-J154-I154</f>
        <v>-62</v>
      </c>
      <c r="M154" s="267">
        <f>SUM(I154:L154)</f>
        <v>-111</v>
      </c>
      <c r="N154" s="272">
        <v>64</v>
      </c>
    </row>
    <row r="155" spans="2:24" s="50" customFormat="1" hidden="1" outlineLevel="1" x14ac:dyDescent="0.3">
      <c r="B155" s="159" t="s">
        <v>80</v>
      </c>
      <c r="C155" s="160"/>
      <c r="D155" s="205">
        <v>1929</v>
      </c>
      <c r="E155" s="260">
        <v>2511</v>
      </c>
      <c r="F155" s="260">
        <v>4216</v>
      </c>
      <c r="G155" s="284">
        <f t="shared" ref="G155" si="93">F156</f>
        <v>2181</v>
      </c>
      <c r="H155" s="255">
        <v>1929</v>
      </c>
      <c r="I155" s="285">
        <f>H156</f>
        <v>1723</v>
      </c>
      <c r="J155" s="260">
        <f>I156</f>
        <v>2827</v>
      </c>
      <c r="K155" s="206">
        <f t="shared" ref="K155:L155" si="94">J156</f>
        <v>4936</v>
      </c>
      <c r="L155" s="260">
        <f t="shared" si="94"/>
        <v>3040</v>
      </c>
      <c r="M155" s="255">
        <f>H156</f>
        <v>1723</v>
      </c>
      <c r="N155" s="286">
        <v>2216</v>
      </c>
    </row>
    <row r="156" spans="2:24" s="50" customFormat="1" hidden="1" outlineLevel="1" x14ac:dyDescent="0.3">
      <c r="B156" s="159" t="s">
        <v>81</v>
      </c>
      <c r="C156" s="160"/>
      <c r="D156" s="205">
        <v>2511</v>
      </c>
      <c r="E156" s="260">
        <v>4216</v>
      </c>
      <c r="F156" s="260">
        <v>2181</v>
      </c>
      <c r="G156" s="254">
        <v>1723</v>
      </c>
      <c r="H156" s="255">
        <v>1723</v>
      </c>
      <c r="I156" s="205">
        <f t="shared" ref="I156:L156" si="95">I155+I153+I154</f>
        <v>2827</v>
      </c>
      <c r="J156" s="260">
        <f t="shared" si="95"/>
        <v>4936</v>
      </c>
      <c r="K156" s="206">
        <f t="shared" si="95"/>
        <v>3040</v>
      </c>
      <c r="L156" s="260">
        <f t="shared" si="95"/>
        <v>2216</v>
      </c>
      <c r="M156" s="255">
        <f t="shared" ref="M156" si="96">M155+M153+M154</f>
        <v>2216</v>
      </c>
      <c r="N156" s="286">
        <v>3257</v>
      </c>
    </row>
    <row r="157" spans="2:24" s="50" customFormat="1" hidden="1" outlineLevel="1" x14ac:dyDescent="0.3">
      <c r="B157" s="155" t="s">
        <v>82</v>
      </c>
      <c r="C157" s="156"/>
      <c r="D157" s="145">
        <f>(D72-D90-D93)/D25</f>
        <v>-8.8633720930232567</v>
      </c>
      <c r="E157" s="146">
        <f>(E72-E90-E93)/E25</f>
        <v>-9.2283813747228383</v>
      </c>
      <c r="F157" s="146">
        <f>(F72-F90-F93)/F25</f>
        <v>-10.878560719640181</v>
      </c>
      <c r="G157" s="147">
        <f>(G72-G90-G93)/G25</f>
        <v>-11.526636225266362</v>
      </c>
      <c r="H157" s="148">
        <f>(H72-H90-H93)/H25</f>
        <v>-11.252600297176821</v>
      </c>
      <c r="I157" s="149">
        <f>(I72-I90-I93)/I25</f>
        <v>-8.4222222222222225</v>
      </c>
      <c r="J157" s="146">
        <f>(J72-J90-J93)/J25</f>
        <v>-8.8301008533747094</v>
      </c>
      <c r="K157" s="150">
        <f>(K72-K90-K93)/K25</f>
        <v>-11.597331240188383</v>
      </c>
      <c r="L157" s="147">
        <f>(L72-L90-L93)/L25</f>
        <v>-15.108816521048452</v>
      </c>
      <c r="M157" s="148">
        <f>(M72-M90-M93)/M25</f>
        <v>-14.826188620420888</v>
      </c>
      <c r="N157" s="290">
        <f>(N72-N90-N93)/N25</f>
        <v>-14.095047923322683</v>
      </c>
      <c r="O157" s="64"/>
      <c r="P157" s="64"/>
      <c r="Q157" s="64"/>
      <c r="R157" s="64"/>
      <c r="S157" s="64"/>
      <c r="T157" s="64"/>
    </row>
    <row r="158" spans="2:24" s="50" customFormat="1" ht="15" customHeight="1" collapsed="1" x14ac:dyDescent="0.3">
      <c r="B158" s="24"/>
      <c r="C158" s="102"/>
      <c r="D158" s="124">
        <f>D156-D72</f>
        <v>0</v>
      </c>
      <c r="E158" s="124">
        <f>E156-E72</f>
        <v>0</v>
      </c>
      <c r="F158" s="124">
        <f>F156-F72</f>
        <v>0</v>
      </c>
      <c r="G158" s="124">
        <f>G156-G72</f>
        <v>0</v>
      </c>
      <c r="H158" s="124">
        <f>H156-H72</f>
        <v>0</v>
      </c>
      <c r="I158" s="124">
        <f>I156-I72</f>
        <v>0</v>
      </c>
      <c r="J158" s="124">
        <f>J156-J72</f>
        <v>0</v>
      </c>
      <c r="K158" s="124">
        <f>K156-K72</f>
        <v>0</v>
      </c>
      <c r="L158" s="124">
        <f>L156-L72</f>
        <v>0</v>
      </c>
      <c r="M158" s="124">
        <f>M156-M72</f>
        <v>0</v>
      </c>
      <c r="N158" s="43"/>
      <c r="O158" s="43"/>
      <c r="P158" s="43"/>
      <c r="Q158" s="43"/>
      <c r="R158" s="43"/>
      <c r="S158" s="43"/>
      <c r="T158" s="43"/>
      <c r="U158" s="43"/>
      <c r="V158" s="43"/>
      <c r="W158" s="43"/>
      <c r="X158" s="73"/>
    </row>
    <row r="159" spans="2:24" ht="15.6" x14ac:dyDescent="0.3">
      <c r="B159" s="167" t="s">
        <v>1</v>
      </c>
      <c r="C159" s="168"/>
      <c r="D159" s="14"/>
      <c r="E159" s="14"/>
      <c r="F159" s="14"/>
      <c r="G159" s="14"/>
      <c r="H159" s="22"/>
      <c r="I159" s="14"/>
      <c r="J159" s="14"/>
      <c r="K159" s="49"/>
      <c r="L159" s="14"/>
      <c r="M159" s="14"/>
      <c r="N159" s="14"/>
      <c r="O159" s="14"/>
      <c r="P159" s="14"/>
      <c r="Q159" s="14"/>
      <c r="R159" s="14"/>
      <c r="S159" s="14"/>
      <c r="T159" s="14"/>
      <c r="U159" s="14"/>
      <c r="V159" s="14"/>
      <c r="W159" s="14"/>
    </row>
    <row r="160" spans="2:24" x14ac:dyDescent="0.3">
      <c r="B160" s="25" t="s">
        <v>8</v>
      </c>
      <c r="C160" s="313">
        <v>22.5</v>
      </c>
      <c r="D160" s="89"/>
      <c r="E160" s="6"/>
      <c r="F160" s="6"/>
      <c r="G160" s="6"/>
      <c r="H160" s="33"/>
      <c r="I160" s="7"/>
      <c r="J160" s="8"/>
      <c r="K160" s="5"/>
      <c r="L160" s="5"/>
      <c r="M160" s="8"/>
      <c r="N160" s="7"/>
      <c r="O160" s="8"/>
      <c r="P160" s="5"/>
      <c r="Q160" s="5"/>
      <c r="R160" s="8"/>
      <c r="S160" s="7"/>
      <c r="T160" s="8"/>
      <c r="U160" s="5"/>
      <c r="V160" s="5"/>
      <c r="W160" s="8"/>
    </row>
    <row r="161" spans="2:23" x14ac:dyDescent="0.3">
      <c r="B161" s="25" t="s">
        <v>9</v>
      </c>
      <c r="C161" s="314">
        <v>23.3</v>
      </c>
      <c r="D161" s="90"/>
      <c r="E161" s="22"/>
      <c r="F161" s="22"/>
      <c r="G161" s="22"/>
      <c r="H161" s="33"/>
      <c r="I161" s="22"/>
      <c r="J161" s="22"/>
      <c r="K161" s="23"/>
      <c r="L161" s="23"/>
      <c r="M161" s="23"/>
      <c r="N161" s="22"/>
      <c r="O161" s="22"/>
      <c r="P161" s="23"/>
      <c r="Q161" s="23"/>
      <c r="R161" s="23"/>
      <c r="S161" s="22"/>
      <c r="T161" s="22"/>
      <c r="U161" s="23"/>
      <c r="V161" s="23"/>
      <c r="W161" s="23"/>
    </row>
    <row r="162" spans="2:23" x14ac:dyDescent="0.3">
      <c r="B162" s="25" t="s">
        <v>10</v>
      </c>
      <c r="C162" s="314">
        <v>21.4</v>
      </c>
      <c r="D162" s="90"/>
      <c r="E162" s="22"/>
      <c r="F162" s="29"/>
      <c r="G162" s="22"/>
      <c r="H162" s="33"/>
      <c r="I162" s="22"/>
      <c r="J162" s="22"/>
      <c r="K162" s="23"/>
      <c r="L162" s="23"/>
      <c r="M162" s="23"/>
      <c r="N162" s="22"/>
      <c r="O162" s="22"/>
      <c r="P162" s="23"/>
      <c r="Q162" s="23"/>
      <c r="R162" s="23"/>
      <c r="S162" s="22"/>
      <c r="T162" s="22"/>
      <c r="U162" s="23"/>
      <c r="V162" s="23"/>
      <c r="W162" s="23"/>
    </row>
    <row r="163" spans="2:23" x14ac:dyDescent="0.3">
      <c r="B163" s="25" t="s">
        <v>2</v>
      </c>
      <c r="C163" s="315">
        <v>22.231999999999999</v>
      </c>
      <c r="D163" s="90"/>
      <c r="E163" s="22"/>
      <c r="F163" s="22"/>
      <c r="G163" s="22"/>
      <c r="H163" s="33"/>
      <c r="I163" s="22"/>
      <c r="J163" s="22"/>
      <c r="K163" s="23"/>
      <c r="L163" s="23"/>
      <c r="M163" s="23"/>
      <c r="N163" s="22"/>
      <c r="O163" s="22"/>
      <c r="P163" s="23"/>
      <c r="Q163" s="23"/>
      <c r="R163" s="23"/>
      <c r="S163" s="22"/>
      <c r="T163" s="22"/>
      <c r="U163" s="23"/>
      <c r="V163" s="23"/>
      <c r="W163" s="23"/>
    </row>
    <row r="164" spans="2:23" s="28" customFormat="1" x14ac:dyDescent="0.3">
      <c r="B164" s="4" t="s">
        <v>12</v>
      </c>
      <c r="C164" s="34">
        <f>N157</f>
        <v>-14.095047923322683</v>
      </c>
      <c r="D164" s="90"/>
      <c r="E164" s="22"/>
      <c r="F164" s="22"/>
      <c r="G164" s="22"/>
      <c r="H164" s="33"/>
      <c r="I164" s="22"/>
      <c r="J164" s="22"/>
      <c r="K164" s="23"/>
      <c r="L164" s="23"/>
      <c r="M164" s="23"/>
      <c r="N164" s="22"/>
      <c r="O164" s="22"/>
      <c r="P164" s="23"/>
      <c r="Q164" s="23"/>
      <c r="R164" s="23"/>
      <c r="S164" s="22"/>
      <c r="T164" s="22"/>
      <c r="U164" s="23"/>
      <c r="V164" s="23"/>
      <c r="W164" s="23"/>
    </row>
    <row r="165" spans="2:23" x14ac:dyDescent="0.3">
      <c r="B165" s="15" t="s">
        <v>13</v>
      </c>
      <c r="C165" s="312">
        <f>(O27+P27+Q27+S27)*C163+C164</f>
        <v>130.00177399669619</v>
      </c>
      <c r="D165" s="91"/>
      <c r="E165" s="22"/>
      <c r="F165" s="22"/>
      <c r="G165" s="22"/>
      <c r="H165" s="33"/>
      <c r="I165" s="22"/>
      <c r="J165" s="22"/>
      <c r="K165" s="23"/>
      <c r="L165" s="23"/>
      <c r="M165" s="23"/>
      <c r="N165" s="22"/>
      <c r="O165" s="22"/>
      <c r="P165" s="23"/>
      <c r="Q165" s="23"/>
      <c r="R165" s="23"/>
      <c r="S165" s="22"/>
      <c r="T165" s="22"/>
      <c r="U165" s="23"/>
      <c r="V165" s="23"/>
      <c r="W165" s="23"/>
    </row>
    <row r="166" spans="2:23" s="28" customFormat="1" ht="111.6" customHeight="1" x14ac:dyDescent="0.3">
      <c r="B166" s="193" t="s">
        <v>192</v>
      </c>
      <c r="C166" s="194"/>
      <c r="D166" s="91"/>
      <c r="E166" s="22"/>
      <c r="F166" s="22"/>
      <c r="G166" s="22"/>
      <c r="H166" s="22"/>
      <c r="I166" s="22"/>
      <c r="J166" s="22"/>
      <c r="K166" s="23"/>
      <c r="L166" s="23"/>
      <c r="M166" s="23"/>
      <c r="N166" s="22"/>
      <c r="O166" s="22"/>
      <c r="P166" s="23"/>
      <c r="Q166" s="23"/>
      <c r="R166" s="23"/>
      <c r="S166" s="22"/>
      <c r="T166" s="22"/>
      <c r="U166" s="23"/>
      <c r="V166" s="23"/>
      <c r="W166" s="23"/>
    </row>
    <row r="167" spans="2:23" s="28" customFormat="1" ht="65.25" customHeight="1" x14ac:dyDescent="0.3">
      <c r="B167" s="191" t="s">
        <v>38</v>
      </c>
      <c r="C167" s="192"/>
      <c r="D167" s="91"/>
      <c r="E167" s="22"/>
      <c r="F167" s="22"/>
      <c r="G167" s="22"/>
      <c r="H167" s="22"/>
      <c r="I167" s="22"/>
      <c r="J167" s="22"/>
      <c r="K167" s="23"/>
      <c r="L167" s="23"/>
      <c r="M167" s="23"/>
      <c r="N167" s="22"/>
      <c r="O167" s="22"/>
      <c r="P167" s="23"/>
      <c r="Q167" s="23"/>
      <c r="R167" s="23"/>
      <c r="S167" s="22"/>
      <c r="T167" s="22"/>
      <c r="U167" s="23"/>
      <c r="V167" s="23"/>
      <c r="W167" s="23"/>
    </row>
    <row r="168" spans="2:23" x14ac:dyDescent="0.3">
      <c r="B168" s="12"/>
      <c r="C168" s="1"/>
      <c r="D168" s="9"/>
    </row>
    <row r="169" spans="2:23" ht="15.6" x14ac:dyDescent="0.3">
      <c r="B169" s="167" t="s">
        <v>45</v>
      </c>
      <c r="C169" s="168"/>
      <c r="D169" s="9"/>
    </row>
    <row r="170" spans="2:23" x14ac:dyDescent="0.3">
      <c r="B170" s="83" t="s">
        <v>41</v>
      </c>
      <c r="C170" s="92">
        <v>1.11E-2</v>
      </c>
    </row>
    <row r="171" spans="2:23" s="50" customFormat="1" x14ac:dyDescent="0.3">
      <c r="B171" s="4" t="s">
        <v>42</v>
      </c>
      <c r="C171" s="93">
        <v>4.1799999999999997E-2</v>
      </c>
      <c r="D171" s="1"/>
      <c r="E171" s="1"/>
      <c r="F171" s="1"/>
      <c r="G171" s="1"/>
      <c r="H171" s="1"/>
      <c r="I171" s="1"/>
      <c r="J171" s="1"/>
      <c r="K171" s="3"/>
      <c r="L171" s="3"/>
      <c r="M171" s="3"/>
      <c r="N171" s="1"/>
      <c r="O171" s="1"/>
      <c r="P171" s="3"/>
      <c r="Q171" s="3"/>
      <c r="R171" s="3"/>
      <c r="S171" s="1"/>
      <c r="T171" s="1"/>
      <c r="U171" s="3"/>
      <c r="V171" s="3"/>
      <c r="W171" s="3"/>
    </row>
    <row r="172" spans="2:23" s="50" customFormat="1" x14ac:dyDescent="0.3">
      <c r="B172" s="4" t="s">
        <v>46</v>
      </c>
      <c r="C172" s="84">
        <f>C165</f>
        <v>130.00177399669619</v>
      </c>
      <c r="D172" s="1"/>
      <c r="E172" s="1"/>
      <c r="F172" s="1"/>
      <c r="G172" s="1"/>
      <c r="H172" s="1"/>
      <c r="I172" s="1"/>
      <c r="J172" s="1"/>
      <c r="K172" s="3"/>
      <c r="L172" s="3"/>
      <c r="M172" s="3"/>
      <c r="N172" s="1"/>
      <c r="O172" s="1"/>
      <c r="P172" s="3"/>
      <c r="Q172" s="3"/>
      <c r="R172" s="3"/>
      <c r="S172" s="1"/>
      <c r="T172" s="1"/>
      <c r="U172" s="3"/>
      <c r="V172" s="3"/>
      <c r="W172" s="3"/>
    </row>
    <row r="173" spans="2:23" x14ac:dyDescent="0.3">
      <c r="B173" s="25" t="s">
        <v>43</v>
      </c>
      <c r="C173" s="84">
        <f>C172*(1+(C171+2*C170))</f>
        <v>138.32188753248474</v>
      </c>
      <c r="H173" s="82"/>
    </row>
    <row r="174" spans="2:23" x14ac:dyDescent="0.3">
      <c r="B174" s="85" t="s">
        <v>44</v>
      </c>
      <c r="C174" s="86">
        <f>C172*(1-(C171+2*C170))</f>
        <v>121.68166046090762</v>
      </c>
      <c r="H174" s="81"/>
    </row>
    <row r="175" spans="2:23" s="50" customFormat="1" ht="15" customHeight="1" x14ac:dyDescent="0.3">
      <c r="B175" s="187" t="s">
        <v>193</v>
      </c>
      <c r="C175" s="188"/>
      <c r="D175" s="1"/>
      <c r="E175" s="1"/>
      <c r="F175" s="1"/>
      <c r="G175" s="1"/>
      <c r="H175" s="1"/>
      <c r="I175" s="1"/>
      <c r="J175" s="1"/>
      <c r="K175" s="3"/>
      <c r="L175" s="3"/>
      <c r="M175" s="3"/>
      <c r="N175" s="1"/>
      <c r="O175" s="1"/>
      <c r="P175" s="3"/>
      <c r="Q175" s="3"/>
      <c r="R175" s="3"/>
      <c r="S175" s="1"/>
      <c r="T175" s="1"/>
      <c r="U175" s="3"/>
      <c r="V175" s="3"/>
      <c r="W175" s="3"/>
    </row>
    <row r="176" spans="2:23" x14ac:dyDescent="0.3">
      <c r="B176" s="187"/>
      <c r="C176" s="188"/>
    </row>
    <row r="177" spans="2:3" x14ac:dyDescent="0.3">
      <c r="B177" s="187"/>
      <c r="C177" s="188"/>
    </row>
    <row r="178" spans="2:3" x14ac:dyDescent="0.3">
      <c r="B178" s="187"/>
      <c r="C178" s="188"/>
    </row>
    <row r="179" spans="2:3" x14ac:dyDescent="0.3">
      <c r="B179" s="187"/>
      <c r="C179" s="188"/>
    </row>
    <row r="180" spans="2:3" x14ac:dyDescent="0.3">
      <c r="B180" s="187"/>
      <c r="C180" s="188"/>
    </row>
    <row r="181" spans="2:3" x14ac:dyDescent="0.3">
      <c r="B181" s="187"/>
      <c r="C181" s="188"/>
    </row>
    <row r="182" spans="2:3" x14ac:dyDescent="0.3">
      <c r="B182" s="187"/>
      <c r="C182" s="188"/>
    </row>
    <row r="183" spans="2:3" x14ac:dyDescent="0.3">
      <c r="B183" s="187"/>
      <c r="C183" s="188"/>
    </row>
    <row r="184" spans="2:3" x14ac:dyDescent="0.3">
      <c r="B184" s="187"/>
      <c r="C184" s="188"/>
    </row>
    <row r="185" spans="2:3" x14ac:dyDescent="0.3">
      <c r="B185" s="187"/>
      <c r="C185" s="188"/>
    </row>
    <row r="186" spans="2:3" x14ac:dyDescent="0.3">
      <c r="B186" s="187"/>
      <c r="C186" s="188"/>
    </row>
    <row r="187" spans="2:3" x14ac:dyDescent="0.3">
      <c r="B187" s="187"/>
      <c r="C187" s="188"/>
    </row>
    <row r="188" spans="2:3" x14ac:dyDescent="0.3">
      <c r="B188" s="187"/>
      <c r="C188" s="188"/>
    </row>
    <row r="189" spans="2:3" x14ac:dyDescent="0.3">
      <c r="B189" s="187"/>
      <c r="C189" s="188"/>
    </row>
    <row r="190" spans="2:3" x14ac:dyDescent="0.3">
      <c r="B190" s="189"/>
      <c r="C190" s="190"/>
    </row>
    <row r="192" spans="2:3" x14ac:dyDescent="0.3">
      <c r="B192" s="94" t="s">
        <v>48</v>
      </c>
    </row>
  </sheetData>
  <dataConsolidate/>
  <mergeCells count="94">
    <mergeCell ref="B48:C48"/>
    <mergeCell ref="B37:C37"/>
    <mergeCell ref="B169:C169"/>
    <mergeCell ref="B175:C190"/>
    <mergeCell ref="B167:C167"/>
    <mergeCell ref="B159:C159"/>
    <mergeCell ref="B166:C166"/>
    <mergeCell ref="B26:C26"/>
    <mergeCell ref="B38:C38"/>
    <mergeCell ref="B39:C39"/>
    <mergeCell ref="B30:C30"/>
    <mergeCell ref="B66:C66"/>
    <mergeCell ref="B65:C65"/>
    <mergeCell ref="B64:C64"/>
    <mergeCell ref="B68:C68"/>
    <mergeCell ref="B69:C69"/>
    <mergeCell ref="B70:C70"/>
    <mergeCell ref="B71:C71"/>
    <mergeCell ref="B72:C72"/>
    <mergeCell ref="B80:C80"/>
    <mergeCell ref="B81:C81"/>
    <mergeCell ref="B82:C82"/>
    <mergeCell ref="B24:C24"/>
    <mergeCell ref="B27:C27"/>
    <mergeCell ref="B45:C45"/>
    <mergeCell ref="B31:C31"/>
    <mergeCell ref="B46:C46"/>
    <mergeCell ref="B32:C32"/>
    <mergeCell ref="B40:C40"/>
    <mergeCell ref="B2:C2"/>
    <mergeCell ref="B63:C63"/>
    <mergeCell ref="B62:C62"/>
    <mergeCell ref="B3:C3"/>
    <mergeCell ref="B4:C4"/>
    <mergeCell ref="B5:C5"/>
    <mergeCell ref="B9:C9"/>
    <mergeCell ref="B10:C10"/>
    <mergeCell ref="B23:C23"/>
    <mergeCell ref="B11:C11"/>
    <mergeCell ref="B12:C12"/>
    <mergeCell ref="B13:C13"/>
    <mergeCell ref="B17:C17"/>
    <mergeCell ref="B21:C21"/>
    <mergeCell ref="B20:C20"/>
    <mergeCell ref="B34:C34"/>
    <mergeCell ref="B33:C33"/>
    <mergeCell ref="B22:C22"/>
    <mergeCell ref="B25:C25"/>
    <mergeCell ref="B83:C83"/>
    <mergeCell ref="B84:C84"/>
    <mergeCell ref="B73:C73"/>
    <mergeCell ref="B74:C74"/>
    <mergeCell ref="B75:C75"/>
    <mergeCell ref="B76:C76"/>
    <mergeCell ref="B77:C77"/>
    <mergeCell ref="B107:C107"/>
    <mergeCell ref="B97:C97"/>
    <mergeCell ref="B99:C99"/>
    <mergeCell ref="B101:C101"/>
    <mergeCell ref="B105:C105"/>
    <mergeCell ref="B106:C106"/>
    <mergeCell ref="B85:C85"/>
    <mergeCell ref="B91:C91"/>
    <mergeCell ref="B92:C92"/>
    <mergeCell ref="B96:C96"/>
    <mergeCell ref="B113:C113"/>
    <mergeCell ref="B114:C114"/>
    <mergeCell ref="B118:C118"/>
    <mergeCell ref="B120:C120"/>
    <mergeCell ref="B109:C109"/>
    <mergeCell ref="B110:C110"/>
    <mergeCell ref="B111:C111"/>
    <mergeCell ref="B112:C112"/>
    <mergeCell ref="B131:C131"/>
    <mergeCell ref="B132:C132"/>
    <mergeCell ref="B133:C133"/>
    <mergeCell ref="B134:C134"/>
    <mergeCell ref="B140:C140"/>
    <mergeCell ref="B121:C121"/>
    <mergeCell ref="B122:C122"/>
    <mergeCell ref="B124:C124"/>
    <mergeCell ref="B125:C125"/>
    <mergeCell ref="B130:C130"/>
    <mergeCell ref="B157:C157"/>
    <mergeCell ref="B151:C151"/>
    <mergeCell ref="B152:C152"/>
    <mergeCell ref="B153:C153"/>
    <mergeCell ref="B155:C155"/>
    <mergeCell ref="B156:C156"/>
    <mergeCell ref="B141:C141"/>
    <mergeCell ref="B142:C142"/>
    <mergeCell ref="B145:C145"/>
    <mergeCell ref="B146:C146"/>
    <mergeCell ref="B147:C147"/>
  </mergeCells>
  <pageMargins left="0.7" right="0.7" top="0.75" bottom="0.75" header="0.3" footer="0.3"/>
  <pageSetup scale="40" orientation="landscape"/>
  <headerFooter>
    <oddFooter xml:space="preserve">&amp;CGutenberg Research LLC prohibits the redistribution of this document in whole or part without the written permission. 
© Gutenberg Research LLC 2016. </oddFooter>
  </headerFooter>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Earnings Model</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2016-03-31T01:20:23Z</cp:lastPrinted>
  <dcterms:created xsi:type="dcterms:W3CDTF">2014-10-18T18:34:10Z</dcterms:created>
  <dcterms:modified xsi:type="dcterms:W3CDTF">2016-07-04T18:52:53Z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