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F1D304BD-69B5-4E9D-BD43-76247053258A}" xr6:coauthVersionLast="45" xr6:coauthVersionMax="45" xr10:uidLastSave="{00000000-0000-0000-0000-000000000000}"/>
  <bookViews>
    <workbookView xWindow="945" yWindow="1710" windowWidth="28605" windowHeight="15630" tabRatio="767" xr2:uid="{00000000-000D-0000-FFFF-FFFF00000000}"/>
  </bookViews>
  <sheets>
    <sheet name="Earnings Model" sheetId="3" r:id="rId1"/>
    <sheet name="Charts" sheetId="21" r:id="rId2"/>
    <sheet name="Std Dev" sheetId="29" state="hidden" r:id="rId3"/>
  </sheets>
  <definedNames>
    <definedName name="DATA" localSheetId="1">#REF!</definedName>
    <definedName name="DATA">#REF!</definedName>
    <definedName name="_xlnm.Print_Area" localSheetId="0">'Earnings Model'!$B$2:$W$67</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9" i="3" l="1"/>
  <c r="Q40" i="3"/>
  <c r="Q42" i="3"/>
  <c r="Q14" i="3"/>
  <c r="Q15" i="3"/>
  <c r="R14" i="3"/>
  <c r="R15" i="3"/>
  <c r="R16" i="3"/>
  <c r="Q17" i="3"/>
  <c r="R17" i="3"/>
  <c r="R18" i="3"/>
  <c r="R19" i="3"/>
  <c r="R20" i="3"/>
  <c r="R21" i="3"/>
  <c r="H14" i="3"/>
  <c r="H15" i="3"/>
  <c r="H16" i="3"/>
  <c r="H17" i="3"/>
  <c r="H18" i="3"/>
  <c r="H19" i="3"/>
  <c r="H20" i="3"/>
  <c r="H21" i="3"/>
  <c r="H22" i="3"/>
  <c r="H23" i="3"/>
  <c r="H24" i="3"/>
  <c r="H25" i="3"/>
  <c r="H26" i="3"/>
  <c r="H27" i="3"/>
  <c r="H28" i="3"/>
  <c r="M14" i="3"/>
  <c r="M15" i="3"/>
  <c r="M16" i="3"/>
  <c r="M17" i="3"/>
  <c r="M18" i="3"/>
  <c r="M19" i="3"/>
  <c r="M20" i="3"/>
  <c r="M21" i="3"/>
  <c r="M22" i="3"/>
  <c r="M23" i="3"/>
  <c r="M24" i="3"/>
  <c r="M25" i="3"/>
  <c r="M26" i="3"/>
  <c r="M27" i="3"/>
  <c r="M28" i="3"/>
  <c r="N16" i="3"/>
  <c r="N20" i="3"/>
  <c r="N21" i="3"/>
  <c r="N25" i="3"/>
  <c r="N26" i="3"/>
  <c r="N28" i="3"/>
  <c r="O16" i="3"/>
  <c r="O20" i="3"/>
  <c r="O21" i="3"/>
  <c r="O25" i="3"/>
  <c r="O26" i="3"/>
  <c r="O28" i="3"/>
  <c r="P16" i="3"/>
  <c r="P20" i="3"/>
  <c r="P21" i="3"/>
  <c r="P25" i="3"/>
  <c r="P26" i="3"/>
  <c r="P28" i="3"/>
  <c r="R22" i="3"/>
  <c r="R23" i="3"/>
  <c r="R24" i="3"/>
  <c r="R25" i="3"/>
  <c r="R26" i="3"/>
  <c r="Q16" i="3"/>
  <c r="Q20" i="3"/>
  <c r="Q21" i="3"/>
  <c r="Q25" i="3"/>
  <c r="Q26" i="3"/>
  <c r="Q27" i="3"/>
  <c r="R27" i="3"/>
  <c r="R28" i="3"/>
  <c r="Q33" i="3"/>
  <c r="L66" i="3"/>
  <c r="L62" i="3"/>
  <c r="N66" i="3"/>
  <c r="N62" i="3"/>
  <c r="O66" i="3"/>
  <c r="O62" i="3"/>
  <c r="P66" i="3"/>
  <c r="P62" i="3"/>
  <c r="Q62" i="3"/>
  <c r="Q64" i="3"/>
  <c r="Q66" i="3"/>
  <c r="Q29" i="3"/>
  <c r="Q28" i="3"/>
  <c r="I16" i="3"/>
  <c r="I20" i="3"/>
  <c r="I21" i="3"/>
  <c r="I25" i="3"/>
  <c r="I26" i="3"/>
  <c r="I28" i="3"/>
  <c r="J16" i="3"/>
  <c r="J20" i="3"/>
  <c r="J21" i="3"/>
  <c r="J25" i="3"/>
  <c r="J26" i="3"/>
  <c r="J28" i="3"/>
  <c r="K16" i="3"/>
  <c r="K20" i="3"/>
  <c r="K21" i="3"/>
  <c r="K25" i="3"/>
  <c r="K26" i="3"/>
  <c r="K28" i="3"/>
  <c r="L16" i="3"/>
  <c r="L20" i="3"/>
  <c r="L21" i="3"/>
  <c r="L25" i="3"/>
  <c r="L26" i="3"/>
  <c r="L28" i="3"/>
  <c r="S25" i="3"/>
  <c r="S39" i="3"/>
  <c r="N40" i="3"/>
  <c r="S40" i="3"/>
  <c r="S42" i="3"/>
  <c r="S14" i="3"/>
  <c r="S15" i="3"/>
  <c r="S16" i="3"/>
  <c r="S17" i="3"/>
  <c r="S20" i="3"/>
  <c r="S21" i="3"/>
  <c r="S26" i="3"/>
  <c r="S27" i="3"/>
  <c r="S28" i="3"/>
  <c r="S33" i="3"/>
  <c r="S62" i="3"/>
  <c r="S64" i="3"/>
  <c r="S66" i="3"/>
  <c r="S29" i="3"/>
  <c r="T25" i="3"/>
  <c r="T39" i="3"/>
  <c r="O40" i="3"/>
  <c r="T40" i="3"/>
  <c r="P37" i="3"/>
  <c r="P39" i="3"/>
  <c r="P42" i="3"/>
  <c r="P44" i="3"/>
  <c r="P41" i="3"/>
  <c r="O39" i="3"/>
  <c r="O42" i="3"/>
  <c r="O44" i="3"/>
  <c r="O41" i="3"/>
  <c r="T41" i="3"/>
  <c r="T42" i="3"/>
  <c r="T14" i="3"/>
  <c r="T15" i="3"/>
  <c r="T16" i="3"/>
  <c r="T17" i="3"/>
  <c r="T20" i="3"/>
  <c r="T21" i="3"/>
  <c r="T26" i="3"/>
  <c r="T27" i="3"/>
  <c r="T28" i="3"/>
  <c r="T33" i="3"/>
  <c r="T62" i="3"/>
  <c r="T64" i="3"/>
  <c r="T66" i="3"/>
  <c r="T29" i="3"/>
  <c r="U25" i="3"/>
  <c r="U39" i="3"/>
  <c r="P40" i="3"/>
  <c r="U40" i="3"/>
  <c r="U41" i="3"/>
  <c r="U42" i="3"/>
  <c r="U14" i="3"/>
  <c r="U15" i="3"/>
  <c r="U16" i="3"/>
  <c r="U17" i="3"/>
  <c r="U20" i="3"/>
  <c r="U21" i="3"/>
  <c r="U26" i="3"/>
  <c r="U27" i="3"/>
  <c r="U28" i="3"/>
  <c r="U33" i="3"/>
  <c r="U62" i="3"/>
  <c r="U64" i="3"/>
  <c r="U66" i="3"/>
  <c r="U29" i="3"/>
  <c r="W22" i="3"/>
  <c r="W23" i="3"/>
  <c r="W24" i="3"/>
  <c r="W25" i="3"/>
  <c r="Q37" i="3"/>
  <c r="V39" i="3"/>
  <c r="V40" i="3"/>
  <c r="V41" i="3"/>
  <c r="V42" i="3"/>
  <c r="V14" i="3"/>
  <c r="W14" i="3"/>
  <c r="V55" i="3"/>
  <c r="V15" i="3"/>
  <c r="W15" i="3"/>
  <c r="W16" i="3"/>
  <c r="V17" i="3"/>
  <c r="W17" i="3"/>
  <c r="W18" i="3"/>
  <c r="W19" i="3"/>
  <c r="W20" i="3"/>
  <c r="W21" i="3"/>
  <c r="W26" i="3"/>
  <c r="V25" i="3"/>
  <c r="V16" i="3"/>
  <c r="V20" i="3"/>
  <c r="V21" i="3"/>
  <c r="V26" i="3"/>
  <c r="V27" i="3"/>
  <c r="W27" i="3"/>
  <c r="W28" i="3"/>
  <c r="V33" i="3"/>
  <c r="V62" i="3"/>
  <c r="V64" i="3"/>
  <c r="V66" i="3"/>
  <c r="V29" i="3"/>
  <c r="V28" i="3"/>
  <c r="S37" i="3"/>
  <c r="T37" i="3"/>
  <c r="U37" i="3"/>
  <c r="V37" i="3"/>
  <c r="P55" i="3"/>
  <c r="P56" i="3"/>
  <c r="P63" i="3"/>
  <c r="P58" i="3"/>
  <c r="I39" i="3"/>
  <c r="I42" i="3"/>
  <c r="I44" i="3"/>
  <c r="I41" i="3"/>
  <c r="P50" i="3"/>
  <c r="P48" i="3"/>
  <c r="K41" i="3"/>
  <c r="N55" i="3"/>
  <c r="O55" i="3"/>
  <c r="K66" i="3"/>
  <c r="K62" i="3"/>
  <c r="N63" i="3"/>
  <c r="O63" i="3"/>
  <c r="K63" i="3"/>
  <c r="L63" i="3"/>
  <c r="Q63" i="3"/>
  <c r="S63" i="3"/>
  <c r="T63" i="3"/>
  <c r="U63" i="3"/>
  <c r="V63" i="3"/>
  <c r="Q30" i="3"/>
  <c r="S30" i="3"/>
  <c r="T30" i="3"/>
  <c r="U30" i="3"/>
  <c r="V30" i="3"/>
  <c r="S32" i="3"/>
  <c r="P32" i="3"/>
  <c r="Q32" i="3"/>
  <c r="L39" i="3"/>
  <c r="L42" i="3"/>
  <c r="L44" i="3"/>
  <c r="L41" i="3"/>
  <c r="O58" i="3"/>
  <c r="O56" i="3"/>
  <c r="O38" i="3"/>
  <c r="O50" i="3"/>
  <c r="O48" i="3"/>
  <c r="O32" i="3"/>
  <c r="D42" i="3"/>
  <c r="I43" i="3"/>
  <c r="N39" i="3"/>
  <c r="N42" i="3"/>
  <c r="N44" i="3"/>
  <c r="N41" i="3"/>
  <c r="R40" i="3"/>
  <c r="M40" i="3"/>
  <c r="R46" i="3"/>
  <c r="N58" i="3"/>
  <c r="N56" i="3"/>
  <c r="N45" i="3"/>
  <c r="N38" i="3"/>
  <c r="N50" i="3"/>
  <c r="N48" i="3"/>
  <c r="N33" i="3"/>
  <c r="I66" i="3"/>
  <c r="I62" i="3"/>
  <c r="J66" i="3"/>
  <c r="J62" i="3"/>
  <c r="I5" i="29"/>
  <c r="I6" i="29"/>
  <c r="I7" i="29"/>
  <c r="I8" i="29"/>
  <c r="I9" i="29"/>
  <c r="I10" i="29"/>
  <c r="I11" i="29"/>
  <c r="I12" i="29"/>
  <c r="I13" i="29"/>
  <c r="I14" i="29"/>
  <c r="I15" i="29"/>
  <c r="I16" i="29"/>
  <c r="I17"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G25" i="3"/>
  <c r="E25" i="3"/>
  <c r="F25" i="3"/>
  <c r="D25" i="3"/>
  <c r="E56" i="3"/>
  <c r="F56" i="3"/>
  <c r="G56" i="3"/>
  <c r="I56" i="3"/>
  <c r="J56" i="3"/>
  <c r="K56" i="3"/>
  <c r="L56" i="3"/>
  <c r="D56" i="3"/>
  <c r="H40" i="3"/>
  <c r="H39" i="3"/>
  <c r="W38" i="3"/>
  <c r="R38" i="3"/>
  <c r="G42" i="3"/>
  <c r="G53" i="3"/>
  <c r="E42" i="3"/>
  <c r="E53" i="3"/>
  <c r="F42" i="3"/>
  <c r="F53" i="3"/>
  <c r="I53" i="3"/>
  <c r="J42" i="3"/>
  <c r="J53" i="3"/>
  <c r="K42" i="3"/>
  <c r="K53" i="3"/>
  <c r="L53" i="3"/>
  <c r="I38" i="3"/>
  <c r="L38" i="3"/>
  <c r="K38" i="3"/>
  <c r="J38" i="3"/>
  <c r="G38" i="3"/>
  <c r="F38" i="3"/>
  <c r="E38" i="3"/>
  <c r="D38" i="3"/>
  <c r="J39" i="3"/>
  <c r="K39" i="3"/>
  <c r="R37" i="3"/>
  <c r="D44" i="3"/>
  <c r="D41" i="3"/>
  <c r="D45" i="3"/>
  <c r="D53" i="3"/>
  <c r="M39" i="3"/>
  <c r="R39" i="3"/>
  <c r="L43" i="3"/>
  <c r="K43" i="3"/>
  <c r="H38" i="3"/>
  <c r="M38" i="3"/>
  <c r="J43" i="3"/>
  <c r="M46" i="3"/>
  <c r="W39" i="3"/>
  <c r="W40" i="3"/>
  <c r="W46" i="3"/>
  <c r="M37" i="3"/>
  <c r="M42" i="3"/>
  <c r="M53" i="3"/>
  <c r="H42" i="3"/>
  <c r="H53" i="3"/>
  <c r="D20" i="3"/>
  <c r="E20" i="3"/>
  <c r="F20" i="3"/>
  <c r="G20" i="3"/>
  <c r="D16" i="3"/>
  <c r="D55" i="3"/>
  <c r="E16" i="3"/>
  <c r="E55" i="3"/>
  <c r="F16" i="3"/>
  <c r="F55" i="3"/>
  <c r="G16" i="3"/>
  <c r="G55" i="3"/>
  <c r="I55" i="3"/>
  <c r="J55" i="3"/>
  <c r="K55" i="3"/>
  <c r="L55" i="3"/>
  <c r="M43" i="3"/>
  <c r="W37" i="3"/>
  <c r="E21" i="3"/>
  <c r="E26" i="3"/>
  <c r="K32" i="3"/>
  <c r="F21" i="3"/>
  <c r="F26" i="3"/>
  <c r="D21" i="3"/>
  <c r="D26" i="3"/>
  <c r="G21" i="3"/>
  <c r="G26" i="3"/>
  <c r="L32" i="3"/>
  <c r="D28" i="3"/>
  <c r="D58" i="3"/>
  <c r="I32" i="3"/>
  <c r="I58" i="3"/>
  <c r="E28" i="3"/>
  <c r="E31" i="3"/>
  <c r="E58" i="3"/>
  <c r="J31" i="3"/>
  <c r="J58" i="3"/>
  <c r="G28" i="3"/>
  <c r="G31" i="3"/>
  <c r="G58" i="3"/>
  <c r="F28" i="3"/>
  <c r="F32" i="3"/>
  <c r="F58" i="3"/>
  <c r="L58" i="3"/>
  <c r="F31" i="3"/>
  <c r="I31" i="3"/>
  <c r="D31" i="3"/>
  <c r="D32" i="3"/>
  <c r="E32" i="3"/>
  <c r="K58" i="3"/>
  <c r="G32" i="3"/>
  <c r="J32" i="3"/>
  <c r="K31" i="3"/>
  <c r="M65" i="3"/>
  <c r="M33" i="3"/>
  <c r="H33" i="3"/>
  <c r="R33" i="3"/>
  <c r="E44" i="3"/>
  <c r="E41" i="3"/>
  <c r="F44" i="3"/>
  <c r="F41" i="3"/>
  <c r="G44" i="3"/>
  <c r="G41" i="3"/>
  <c r="G45" i="3"/>
  <c r="J44" i="3"/>
  <c r="K44" i="3"/>
  <c r="L45" i="3"/>
  <c r="M56" i="3"/>
  <c r="H56" i="3"/>
  <c r="H41" i="3"/>
  <c r="M41" i="3"/>
  <c r="W33" i="3"/>
  <c r="K45" i="3"/>
  <c r="F45" i="3"/>
  <c r="J45" i="3"/>
  <c r="E45" i="3"/>
  <c r="I45" i="3"/>
  <c r="M55" i="3"/>
  <c r="H55" i="3"/>
  <c r="M58" i="3"/>
  <c r="H58" i="3"/>
  <c r="H29" i="3"/>
  <c r="H30" i="3"/>
  <c r="M30" i="3"/>
  <c r="M29" i="3"/>
  <c r="L31" i="3"/>
  <c r="M32" i="3"/>
  <c r="M31" i="3"/>
  <c r="H31" i="3"/>
  <c r="H32" i="3"/>
  <c r="J63" i="3"/>
  <c r="D66" i="3"/>
  <c r="F66" i="3"/>
  <c r="G66" i="3"/>
  <c r="R65" i="3"/>
  <c r="M66" i="3"/>
  <c r="F63" i="3"/>
  <c r="F62" i="3"/>
  <c r="G63" i="3"/>
  <c r="G62" i="3"/>
  <c r="R66" i="3"/>
  <c r="J57" i="3"/>
  <c r="H65" i="3"/>
  <c r="E66" i="3"/>
  <c r="K57" i="3"/>
  <c r="I63" i="3"/>
  <c r="D57" i="3"/>
  <c r="F57" i="3"/>
  <c r="L57" i="3"/>
  <c r="G57" i="3"/>
  <c r="I57" i="3"/>
  <c r="E62" i="3"/>
  <c r="E63" i="3"/>
  <c r="H66" i="3"/>
  <c r="E57" i="3"/>
  <c r="H57" i="3"/>
  <c r="K21" i="29"/>
  <c r="W65" i="3"/>
  <c r="M57" i="3"/>
  <c r="W66" i="3"/>
  <c r="N43" i="3"/>
  <c r="N53" i="3"/>
  <c r="O43" i="3"/>
  <c r="O45" i="3"/>
  <c r="O53" i="3"/>
  <c r="N57" i="3"/>
  <c r="S45" i="3"/>
  <c r="S44" i="3"/>
  <c r="S43" i="3"/>
  <c r="Q43" i="3"/>
  <c r="Q45" i="3"/>
  <c r="Q44" i="3"/>
  <c r="Q53" i="3"/>
  <c r="S53" i="3"/>
  <c r="R42" i="3"/>
  <c r="R43" i="3"/>
  <c r="R53" i="3"/>
  <c r="R55" i="3"/>
  <c r="O57" i="3"/>
  <c r="R57" i="3"/>
  <c r="P57" i="3"/>
  <c r="Q57" i="3"/>
  <c r="S57" i="3"/>
  <c r="N32" i="3"/>
  <c r="N31" i="3"/>
  <c r="O31" i="3"/>
  <c r="P31" i="3"/>
  <c r="R30" i="3"/>
  <c r="R32" i="3"/>
  <c r="R29" i="3"/>
  <c r="R31" i="3"/>
  <c r="Q31" i="3"/>
  <c r="R58" i="3"/>
  <c r="S31" i="3"/>
  <c r="R41" i="3"/>
  <c r="P43" i="3"/>
  <c r="P45" i="3"/>
  <c r="P53" i="3"/>
  <c r="T53" i="3"/>
  <c r="T43" i="3"/>
  <c r="T45" i="3"/>
  <c r="T44" i="3"/>
  <c r="W41" i="3"/>
  <c r="U45" i="3"/>
  <c r="U44" i="3"/>
  <c r="U43" i="3"/>
  <c r="U53" i="3"/>
  <c r="V53" i="3"/>
  <c r="V45" i="3"/>
  <c r="V44" i="3"/>
  <c r="V43" i="3"/>
  <c r="W42" i="3"/>
  <c r="W43" i="3"/>
  <c r="W53" i="3"/>
  <c r="W55" i="3"/>
  <c r="W57" i="3"/>
  <c r="T57" i="3"/>
  <c r="U57" i="3"/>
  <c r="V57" i="3"/>
  <c r="T31" i="3"/>
  <c r="U31" i="3"/>
  <c r="U32" i="3"/>
  <c r="V32" i="3"/>
  <c r="V31" i="3"/>
  <c r="W58" i="3"/>
  <c r="W30" i="3"/>
  <c r="W32" i="3"/>
  <c r="W29" i="3"/>
  <c r="W31" i="3"/>
  <c r="T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indexed="81"/>
            <rFont val="Tahoma"/>
            <family val="2"/>
          </rPr>
          <t>F1Q2019 Earnings Call:</t>
        </r>
        <r>
          <rPr>
            <sz val="9"/>
            <color indexed="81"/>
            <rFont val="Tahoma"/>
            <family val="2"/>
          </rPr>
          <t xml:space="preserve"> "Our sales performance came in below our expectations in the quarter, as a result of two factors:
First, </t>
        </r>
        <r>
          <rPr>
            <b/>
            <sz val="9"/>
            <color indexed="81"/>
            <rFont val="Tahoma"/>
            <family val="2"/>
          </rPr>
          <t>the month of February was the second wettest on record for the U.S. Second</t>
        </r>
        <r>
          <rPr>
            <sz val="9"/>
            <color indexed="81"/>
            <rFont val="Tahoma"/>
            <family val="2"/>
          </rPr>
          <t>,</t>
        </r>
        <r>
          <rPr>
            <b/>
            <sz val="9"/>
            <color indexed="81"/>
            <rFont val="Tahoma"/>
            <family val="2"/>
          </rPr>
          <t xml:space="preserve"> lumber prices continued to decline in the quarter, resulting in a negative impact to sales growth of approximately $200 million</t>
        </r>
        <r>
          <rPr>
            <sz val="9"/>
            <color indexed="81"/>
            <rFont val="Tahoma"/>
            <family val="2"/>
          </rPr>
          <t>. Looking at our results geographically, all of our U.S. divisions posted positive comps. Two of our 19 U.S. regions posted</t>
        </r>
        <r>
          <rPr>
            <b/>
            <sz val="9"/>
            <color indexed="81"/>
            <rFont val="Tahoma"/>
            <family val="2"/>
          </rPr>
          <t xml:space="preserve"> mid-single-digit negative comps as they faced difficult compares due to hurricane-related sales a year ago</t>
        </r>
        <r>
          <rPr>
            <sz val="9"/>
            <color indexed="81"/>
            <rFont val="Tahoma"/>
            <family val="2"/>
          </rPr>
          <t>."
"Internationally,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b/>
            <sz val="9"/>
            <color indexed="81"/>
            <rFont val="Tahoma"/>
            <family val="2"/>
          </rPr>
          <t>Online traffic growth was healthy and first quarter online sales grew 23%</t>
        </r>
        <r>
          <rPr>
            <sz val="9"/>
            <color indexed="81"/>
            <rFont val="Tahoma"/>
            <family val="2"/>
          </rPr>
          <t xml:space="preserve"> from the first quarter of 2018. "
"Versus last year, a</t>
        </r>
        <r>
          <rPr>
            <b/>
            <sz val="9"/>
            <color indexed="81"/>
            <rFont val="Tahoma"/>
            <family val="2"/>
          </rPr>
          <t xml:space="preserve"> stronger U.S. dollar negatively impacted the total sales growth by approximately $76 million</t>
        </r>
        <r>
          <rPr>
            <sz val="9"/>
            <color indexed="81"/>
            <rFont val="Tahoma"/>
            <family val="2"/>
          </rPr>
          <t xml:space="preserve"> or 0.3%." </t>
        </r>
      </text>
    </comment>
    <comment ref="R14" authorId="0" shapeId="0" xr:uid="{6590642B-6807-4E84-AB47-DDD4B493F21D}">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Total sales up 3% YoY, or $111.5B</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 xml:space="preserve">Reaffirmed on the F1Q2019 conference call on 5/21/2019…but:
F1Q2019 Earnings Call: </t>
        </r>
        <r>
          <rPr>
            <i/>
            <sz val="9"/>
            <color indexed="81"/>
            <rFont val="Tahoma"/>
            <family val="2"/>
          </rPr>
          <t xml:space="preserve"> "The building blocks of our 2019 plan are in place. Nonetheless, two factors have changed since we put their plan together. </t>
        </r>
        <r>
          <rPr>
            <b/>
            <i/>
            <sz val="9"/>
            <color indexed="81"/>
            <rFont val="Tahoma"/>
            <family val="2"/>
          </rPr>
          <t>First, there was a recent announcement that certain tariffs are increasing to 25%. We are working through the impact of these tariffs and as a result have not included them in today's guidance.</t>
        </r>
        <r>
          <rPr>
            <i/>
            <sz val="9"/>
            <color indexed="81"/>
            <rFont val="Tahoma"/>
            <family val="2"/>
          </rPr>
          <t xml:space="preserve">
Second and more immediate, is the significant deflation we are seeing in lumber prices. You will recall that our sales forecasting model does not include commodity price inflation or deflation. </t>
        </r>
        <r>
          <rPr>
            <b/>
            <i/>
            <sz val="9"/>
            <color indexed="81"/>
            <rFont val="Tahoma"/>
            <family val="2"/>
          </rPr>
          <t>If lumber prices remain at today's level, this could hamper our fiscal 2019 sales growth plan by as much as $800 million.</t>
        </r>
        <r>
          <rPr>
            <i/>
            <sz val="9"/>
            <color indexed="81"/>
            <rFont val="Tahoma"/>
            <family val="2"/>
          </rPr>
          <t xml:space="preserve">
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indexed="81"/>
            <rFont val="Tahoma"/>
            <family val="2"/>
          </rPr>
          <t xml:space="preserve">Guidance: </t>
        </r>
        <r>
          <rPr>
            <sz val="9"/>
            <color indexed="81"/>
            <rFont val="Tahoma"/>
            <family val="2"/>
          </rPr>
          <t>Total sales between 3.5% and 4.0% (approximately $114.0B to  $114.6B).</t>
        </r>
        <r>
          <rPr>
            <b/>
            <sz val="9"/>
            <color indexed="81"/>
            <rFont val="Tahoma"/>
            <family val="2"/>
          </rPr>
          <t xml:space="preserve">
Source: </t>
        </r>
        <r>
          <rPr>
            <sz val="9"/>
            <color indexed="81"/>
            <rFont val="Tahoma"/>
            <family val="2"/>
          </rPr>
          <t>Investor/Analyst Meeting 12/11/2019</t>
        </r>
        <r>
          <rPr>
            <b/>
            <sz val="9"/>
            <color indexed="81"/>
            <rFont val="Tahoma"/>
            <family val="2"/>
          </rPr>
          <t xml:space="preserve">
</t>
        </r>
        <r>
          <rPr>
            <b/>
            <i/>
            <sz val="9"/>
            <color indexed="81"/>
            <rFont val="Tahoma"/>
            <family val="2"/>
          </rPr>
          <t xml:space="preserve">
Prior Guidance:
Guidance:</t>
        </r>
        <r>
          <rPr>
            <i/>
            <sz val="9"/>
            <color indexed="81"/>
            <rFont val="Tahoma"/>
            <family val="2"/>
          </rPr>
          <t xml:space="preserve"> Total sales ranging from ~$115 billion to approximately $120 billion
</t>
        </r>
        <r>
          <rPr>
            <b/>
            <i/>
            <sz val="9"/>
            <color indexed="81"/>
            <rFont val="Tahoma"/>
            <family val="2"/>
          </rPr>
          <t>Source:</t>
        </r>
        <r>
          <rPr>
            <i/>
            <sz val="9"/>
            <color indexed="81"/>
            <rFont val="Tahoma"/>
            <family val="2"/>
          </rPr>
          <t xml:space="preserve"> F4Q2018 earnings call, 2/26/2019</t>
        </r>
      </text>
    </comment>
    <comment ref="R18" authorId="0" shapeId="0" xr:uid="{C8AE2DA5-F653-4BCB-BD24-13079DF49164}">
      <text>
        <r>
          <rPr>
            <b/>
            <sz val="9"/>
            <color indexed="81"/>
            <rFont val="Tahoma"/>
            <family val="2"/>
          </rPr>
          <t>Guidance:</t>
        </r>
        <r>
          <rPr>
            <sz val="9"/>
            <color indexed="81"/>
            <rFont val="Tahoma"/>
            <family val="2"/>
          </rPr>
          <t xml:space="preserve"> Depreciation and amortization expense of ~$2.3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25" authorId="0" shapeId="0" xr:uid="{DC03500A-CFFA-415E-BCC3-C46FCBFEAD8B}">
      <text>
        <r>
          <rPr>
            <b/>
            <sz val="9"/>
            <color indexed="81"/>
            <rFont val="Tahoma"/>
            <family val="2"/>
          </rPr>
          <t>Guidance:</t>
        </r>
        <r>
          <rPr>
            <sz val="9"/>
            <color indexed="81"/>
            <rFont val="Tahoma"/>
            <family val="2"/>
          </rPr>
          <t xml:space="preserve"> Net interest expense of ~$1.2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32" authorId="0" shapeId="0" xr:uid="{DF6AC6E6-CF62-4BDB-9DE1-43B44074A433}">
      <text>
        <r>
          <rPr>
            <b/>
            <sz val="9"/>
            <color indexed="81"/>
            <rFont val="Tahoma"/>
            <family val="2"/>
          </rPr>
          <t xml:space="preserve">Guidance: </t>
        </r>
        <r>
          <rPr>
            <sz val="9"/>
            <color indexed="81"/>
            <rFont val="Tahoma"/>
            <family val="2"/>
          </rPr>
          <t>Diluted earnings-per-share growth of approximately 3.1% to $10.03</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Diluted earnings-per-share growth of approximately 3.1% to $10.03</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t>
        </r>
        <r>
          <rPr>
            <i/>
            <sz val="9"/>
            <color indexed="81"/>
            <rFont val="Tahoma"/>
            <family val="2"/>
          </rPr>
          <t xml:space="preserve"> Diluted earnings-per-share growth of approximately 3.1% to $10.03
</t>
        </r>
        <r>
          <rPr>
            <b/>
            <i/>
            <sz val="9"/>
            <color indexed="81"/>
            <rFont val="Tahoma"/>
            <family val="2"/>
          </rPr>
          <t xml:space="preserve">Source: </t>
        </r>
        <r>
          <rPr>
            <i/>
            <sz val="9"/>
            <color indexed="81"/>
            <rFont val="Tahoma"/>
            <family val="2"/>
          </rPr>
          <t xml:space="preserve">F4Q2018 earnings call, 2/26/2019 
</t>
        </r>
        <r>
          <rPr>
            <b/>
            <i/>
            <sz val="9"/>
            <color indexed="81"/>
            <rFont val="Tahoma"/>
            <family val="2"/>
          </rPr>
          <t>Reaffirmed on the F1Q2019 conference call on 5/21/2019</t>
        </r>
      </text>
    </comment>
    <comment ref="R38" authorId="0" shapeId="0" xr:uid="{777AB5D6-4EE6-49B5-A6C8-AFAB8D177616}">
      <text>
        <r>
          <rPr>
            <b/>
            <sz val="9"/>
            <color indexed="81"/>
            <rFont val="Tahoma"/>
            <family val="2"/>
          </rPr>
          <t xml:space="preserve">Guidance: </t>
        </r>
        <r>
          <rPr>
            <sz val="9"/>
            <color indexed="81"/>
            <rFont val="Tahoma"/>
            <family val="2"/>
          </rPr>
          <t>Five net new stores</t>
        </r>
        <r>
          <rPr>
            <b/>
            <sz val="9"/>
            <color indexed="81"/>
            <rFont val="Tahoma"/>
            <family val="2"/>
          </rPr>
          <t xml:space="preserve">
Source: </t>
        </r>
        <r>
          <rPr>
            <sz val="9"/>
            <color indexed="81"/>
            <rFont val="Tahoma"/>
            <family val="2"/>
          </rPr>
          <t xml:space="preserve">F4Q2018 earnings call, 2/26/2019 </t>
        </r>
      </text>
    </comment>
    <comment ref="I40" authorId="0" shapeId="0" xr:uid="{87181218-F2A4-409B-8805-46DA527D6FC0}">
      <text>
        <r>
          <rPr>
            <sz val="9"/>
            <color indexed="81"/>
            <rFont val="Tahoma"/>
            <family val="2"/>
          </rPr>
          <t xml:space="preserve">Adjusted to calculate the Fiscal 2019 comp store sales calc against 52-weeks in 2018. 
</t>
        </r>
        <r>
          <rPr>
            <b/>
            <sz val="9"/>
            <color indexed="81"/>
            <rFont val="Tahoma"/>
            <family val="2"/>
          </rPr>
          <t>F1Q2019 Earnings Call:</t>
        </r>
        <r>
          <rPr>
            <sz val="9"/>
            <color indexed="81"/>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indexed="81"/>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Sales growth of ~3.3%</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Reaffirmed on the F1Q2019 conference call on 5/21/2019</t>
        </r>
      </text>
    </comment>
    <comment ref="W43" authorId="0" shapeId="0" xr:uid="{EE0B2FFF-F900-4CA5-A33C-7274A7B9BCAA}">
      <text>
        <r>
          <rPr>
            <b/>
            <sz val="9"/>
            <color indexed="81"/>
            <rFont val="Tahoma"/>
            <family val="2"/>
          </rPr>
          <t xml:space="preserve">Guidance: </t>
        </r>
        <r>
          <rPr>
            <sz val="9"/>
            <color indexed="81"/>
            <rFont val="Tahoma"/>
            <family val="2"/>
          </rPr>
          <t xml:space="preserve">Total sales between 3.5% and 4.0% (approximately $114.0B to  $114.6B).
</t>
        </r>
        <r>
          <rPr>
            <b/>
            <sz val="9"/>
            <color indexed="81"/>
            <rFont val="Tahoma"/>
            <family val="2"/>
          </rPr>
          <t xml:space="preserve">Source: </t>
        </r>
        <r>
          <rPr>
            <sz val="9"/>
            <color indexed="81"/>
            <rFont val="Tahoma"/>
            <family val="2"/>
          </rPr>
          <t xml:space="preserve">Investor/Analyst Meeting 12/11/2019
</t>
        </r>
        <r>
          <rPr>
            <i/>
            <sz val="9"/>
            <color indexed="81"/>
            <rFont val="Tahoma"/>
            <family val="2"/>
          </rPr>
          <t>Prior Guidance:
Guidance: Total sales ranging from ~$115 billion to approximately $120 billion
Source: F4Q2018 earnings call, 2/26/2019</t>
        </r>
      </text>
    </comment>
    <comment ref="N46" authorId="0" shapeId="0" xr:uid="{DA7C9DD2-66A4-4DFB-980B-1757F6D35AAF}">
      <text>
        <r>
          <rPr>
            <b/>
            <sz val="9"/>
            <color indexed="81"/>
            <rFont val="Tahoma"/>
            <family val="2"/>
          </rPr>
          <t>F1Q2019 Earnings Call: "</t>
        </r>
        <r>
          <rPr>
            <sz val="9"/>
            <color indexed="81"/>
            <rFont val="Tahoma"/>
            <family val="2"/>
          </rPr>
          <t xml:space="preserve">In the first quarter, comp average ticket increased 2% and comp transactions increased 5.5%. During the first quarter, </t>
        </r>
        <r>
          <rPr>
            <b/>
            <sz val="9"/>
            <color indexed="81"/>
            <rFont val="Tahoma"/>
            <family val="2"/>
          </rPr>
          <t>we continued to see significant deflationary trends in lumber that began last year.</t>
        </r>
        <r>
          <rPr>
            <sz val="9"/>
            <color indexed="81"/>
            <rFont val="Tahoma"/>
            <family val="2"/>
          </rPr>
          <t xml:space="preserve">
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Without lumber price deflation, our average ticket growth would have been closer to 3%. "
"Second,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indexed="81"/>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6" authorId="0" shapeId="0" xr:uid="{4834D747-7B93-4622-A295-7D9CE5BEB6FE}">
      <text>
        <r>
          <rPr>
            <b/>
            <sz val="9"/>
            <color indexed="81"/>
            <rFont val="Tahoma"/>
            <family val="2"/>
          </rPr>
          <t xml:space="preserve">Guidance: </t>
        </r>
        <r>
          <rPr>
            <sz val="9"/>
            <color indexed="81"/>
            <rFont val="Tahoma"/>
            <family val="2"/>
          </rPr>
          <t>Comparable sales growth of approximately 3.5% for the comparable 52-week period.</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Comparable sales growth of approximately 4.0% for the comparable 52-week period.
</t>
        </r>
        <r>
          <rPr>
            <b/>
            <i/>
            <sz val="9"/>
            <color indexed="81"/>
            <rFont val="Tahoma"/>
            <family val="2"/>
          </rPr>
          <t xml:space="preserve">Source: </t>
        </r>
        <r>
          <rPr>
            <i/>
            <sz val="9"/>
            <color indexed="81"/>
            <rFont val="Tahoma"/>
            <family val="2"/>
          </rPr>
          <t xml:space="preserve">F2Q2019 earnings call, 10/20/2019 </t>
        </r>
        <r>
          <rPr>
            <sz val="9"/>
            <color indexed="81"/>
            <rFont val="Tahoma"/>
            <family val="2"/>
          </rPr>
          <t xml:space="preserve">
</t>
        </r>
      </text>
    </comment>
    <comment ref="W46" authorId="0" shapeId="0" xr:uid="{8FE67043-7E17-45D1-A675-C9CF77C009F5}">
      <text>
        <r>
          <rPr>
            <b/>
            <sz val="9"/>
            <color indexed="81"/>
            <rFont val="Tahoma"/>
            <family val="2"/>
          </rPr>
          <t xml:space="preserve">Guidance: </t>
        </r>
        <r>
          <rPr>
            <sz val="9"/>
            <color indexed="81"/>
            <rFont val="Tahoma"/>
            <family val="2"/>
          </rPr>
          <t xml:space="preserve">Comp sales growth of approximately 3.5% to 4.0%.
</t>
        </r>
        <r>
          <rPr>
            <b/>
            <sz val="9"/>
            <color indexed="81"/>
            <rFont val="Tahoma"/>
            <family val="2"/>
          </rPr>
          <t>Source:</t>
        </r>
        <r>
          <rPr>
            <sz val="9"/>
            <color indexed="81"/>
            <rFont val="Tahoma"/>
            <family val="2"/>
          </rPr>
          <t xml:space="preserve"> Investor/Analyst Meeting 12/11/2019</t>
        </r>
      </text>
    </comment>
    <comment ref="N55" authorId="0" shapeId="0" xr:uid="{24AB3D13-C325-4E90-934B-DBBEBF0CD9CE}">
      <text>
        <r>
          <rPr>
            <b/>
            <sz val="9"/>
            <color indexed="81"/>
            <rFont val="Tahoma"/>
            <family val="2"/>
          </rPr>
          <t xml:space="preserve">F1Q2019 Earnings Call: </t>
        </r>
        <r>
          <rPr>
            <sz val="9"/>
            <color indexed="81"/>
            <rFont val="Tahoma"/>
            <family val="2"/>
          </rPr>
          <t>"In the first quarter, our gross margin was 34.2%, a decrease of 36 basis points from last year. The year-over-year change in our gross margin reflects the following factors.
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indexed="81"/>
            <rFont val="Tahoma"/>
            <family val="2"/>
          </rPr>
          <t xml:space="preserve">
</t>
        </r>
        <r>
          <rPr>
            <sz val="9"/>
            <color indexed="81"/>
            <rFont val="Tahoma"/>
            <family val="2"/>
          </rPr>
          <t xml:space="preserve">
</t>
        </r>
      </text>
    </comment>
    <comment ref="R55" authorId="0" shapeId="0" xr:uid="{252AD746-EC75-47E5-802D-FACB8F559A4D}">
      <text>
        <r>
          <rPr>
            <b/>
            <sz val="9"/>
            <color indexed="81"/>
            <rFont val="Tahoma"/>
            <family val="2"/>
          </rPr>
          <t>Guidance:</t>
        </r>
        <r>
          <rPr>
            <sz val="9"/>
            <color indexed="81"/>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indexed="81"/>
            <rFont val="Tahoma"/>
            <family val="2"/>
          </rPr>
          <t>Source:</t>
        </r>
        <r>
          <rPr>
            <sz val="9"/>
            <color indexed="81"/>
            <rFont val="Tahoma"/>
            <family val="2"/>
          </rPr>
          <t xml:space="preserve"> 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Gross margin of ~34%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N56" authorId="0" shapeId="0" xr:uid="{B4D77573-BA98-4DAB-8B9C-104294751A0B}">
      <text>
        <r>
          <rPr>
            <b/>
            <sz val="9"/>
            <color indexed="81"/>
            <rFont val="Tahoma"/>
            <family val="2"/>
          </rPr>
          <t>F1Q2019 Earnings Call:</t>
        </r>
        <r>
          <rPr>
            <sz val="9"/>
            <color indexed="81"/>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7" authorId="0" shapeId="0" xr:uid="{B363599C-AFF2-4EC1-AF26-B7D11A6EDEB9}">
      <text>
        <r>
          <rPr>
            <b/>
            <sz val="9"/>
            <color indexed="81"/>
            <rFont val="Tahoma"/>
            <family val="2"/>
          </rPr>
          <t>Guidance:</t>
        </r>
        <r>
          <rPr>
            <sz val="9"/>
            <color indexed="81"/>
            <rFont val="Tahoma"/>
            <family val="2"/>
          </rPr>
          <t xml:space="preserve"> Operating margin of ~14.4%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W57" authorId="0" shapeId="0" xr:uid="{D6AFDBC0-B645-487E-9C28-699479A906E9}">
      <text>
        <r>
          <rPr>
            <b/>
            <sz val="9"/>
            <color indexed="81"/>
            <rFont val="Tahoma"/>
            <family val="2"/>
          </rPr>
          <t>Guidance:</t>
        </r>
        <r>
          <rPr>
            <sz val="9"/>
            <color indexed="81"/>
            <rFont val="Tahoma"/>
            <family val="2"/>
          </rPr>
          <t xml:space="preserve"> Operating Margin of approximately 14%.
</t>
        </r>
        <r>
          <rPr>
            <b/>
            <sz val="9"/>
            <color indexed="81"/>
            <rFont val="Tahoma"/>
            <family val="2"/>
          </rPr>
          <t xml:space="preserve">Source: </t>
        </r>
        <r>
          <rPr>
            <sz val="9"/>
            <color indexed="81"/>
            <rFont val="Tahoma"/>
            <family val="2"/>
          </rPr>
          <t>Investor/Analyst Meeting 12/11/2019</t>
        </r>
      </text>
    </comment>
    <comment ref="R58" authorId="0" shapeId="0" xr:uid="{1AC5A6FE-2E7D-4292-8526-475FE5AC6A6E}">
      <text>
        <r>
          <rPr>
            <b/>
            <sz val="9"/>
            <color indexed="81"/>
            <rFont val="Tahoma"/>
            <family val="2"/>
          </rPr>
          <t xml:space="preserve">Guidance: </t>
        </r>
        <r>
          <rPr>
            <sz val="9"/>
            <color indexed="81"/>
            <rFont val="Tahoma"/>
            <family val="2"/>
          </rPr>
          <t>For the year, we now expect our effective tax rate to be approximately 25 percent.</t>
        </r>
        <r>
          <rPr>
            <b/>
            <sz val="9"/>
            <color indexed="81"/>
            <rFont val="Tahoma"/>
            <family val="2"/>
          </rPr>
          <t xml:space="preserve">
Source: </t>
        </r>
        <r>
          <rPr>
            <sz val="9"/>
            <color indexed="81"/>
            <rFont val="Tahoma"/>
            <family val="2"/>
          </rPr>
          <t xml:space="preserve">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Tax rate of approximately 25.5%.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R65" authorId="0" shapeId="0" xr:uid="{28F3D4EE-614F-4345-B8A3-1973D3BE300C}">
      <text>
        <r>
          <rPr>
            <b/>
            <sz val="9"/>
            <color indexed="81"/>
            <rFont val="Tahoma"/>
            <family val="2"/>
          </rPr>
          <t xml:space="preserve">Guidance: </t>
        </r>
        <r>
          <rPr>
            <sz val="9"/>
            <color indexed="81"/>
            <rFont val="Tahoma"/>
            <family val="2"/>
          </rPr>
          <t>Share repurchases of ~$5.0 billion</t>
        </r>
        <r>
          <rPr>
            <b/>
            <sz val="9"/>
            <color indexed="81"/>
            <rFont val="Tahoma"/>
            <family val="2"/>
          </rPr>
          <t xml:space="preserve"> 
Source: </t>
        </r>
        <r>
          <rPr>
            <sz val="9"/>
            <color indexed="81"/>
            <rFont val="Tahoma"/>
            <family val="2"/>
          </rPr>
          <t>F2Q2019 earnings call, 10/20/2019</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Share repurchases of ~$5.0 billion 
</t>
        </r>
        <r>
          <rPr>
            <b/>
            <i/>
            <sz val="9"/>
            <color indexed="81"/>
            <rFont val="Tahoma"/>
            <family val="2"/>
          </rPr>
          <t>Source:</t>
        </r>
        <r>
          <rPr>
            <i/>
            <sz val="9"/>
            <color indexed="81"/>
            <rFont val="Tahoma"/>
            <family val="2"/>
          </rPr>
          <t xml:space="preserve"> F4Q2018 earnings call, 2/26/2019 
</t>
        </r>
        <r>
          <rPr>
            <b/>
            <i/>
            <sz val="9"/>
            <color indexed="81"/>
            <rFont val="Tahoma"/>
            <family val="2"/>
          </rPr>
          <t>Reaffirmed on the F1Q2019 conference call on 5/21/2019</t>
        </r>
      </text>
    </comment>
  </commentList>
</comments>
</file>

<file path=xl/sharedStrings.xml><?xml version="1.0" encoding="utf-8"?>
<sst xmlns="http://schemas.openxmlformats.org/spreadsheetml/2006/main" count="215" uniqueCount="109">
  <si>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</si>
  <si>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</si>
  <si>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</si>
  <si>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</si>
  <si>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</si>
  <si>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</si>
  <si>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</si>
  <si>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</si>
  <si>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</si>
  <si>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</si>
  <si>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</si>
  <si>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</si>
  <si>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</si>
  <si>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</si>
  <si>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</si>
  <si>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</si>
  <si>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</si>
  <si>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</si>
  <si>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</si>
  <si>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</si>
  <si>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</si>
  <si>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</si>
  <si>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</si>
  <si>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</si>
  <si>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</si>
  <si>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</si>
  <si>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</si>
  <si>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</si>
  <si>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</si>
  <si>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</si>
  <si>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</si>
  <si>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</si>
  <si>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</si>
  <si>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</si>
  <si>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</si>
  <si>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</si>
  <si>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</si>
  <si>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</si>
  <si>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</si>
  <si>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</si>
  <si>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</si>
  <si>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</si>
  <si>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</si>
  <si>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</si>
  <si>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</si>
  <si>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</si>
  <si>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</si>
  <si>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</si>
  <si>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</si>
  <si>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</si>
  <si>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</si>
  <si>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</si>
  <si>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</si>
  <si>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</si>
  <si>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</si>
  <si>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</si>
  <si>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</si>
  <si>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</si>
  <si>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</si>
  <si>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</si>
  <si>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</si>
  <si>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</si>
  <si>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</si>
  <si>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</si>
  <si>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</si>
  <si>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</si>
  <si>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</si>
  <si>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</si>
  <si>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</si>
  <si>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</si>
  <si>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</si>
  <si>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</si>
  <si>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</si>
  <si>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</si>
  <si>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</si>
  <si>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</si>
  <si>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</si>
  <si>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</si>
  <si>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</si>
  <si>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</si>
  <si>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</si>
  <si>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</si>
  <si>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</si>
  <si>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</si>
  <si>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</si>
  <si>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</si>
  <si>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</si>
  <si>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</si>
  <si>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</si>
  <si>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</si>
  <si>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</si>
  <si>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</si>
  <si>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</si>
  <si>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</si>
  <si>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</si>
  <si>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</si>
  <si>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</si>
  <si>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F4Q19E</t>
  </si>
  <si>
    <t>FY 2019E</t>
  </si>
  <si>
    <t>F1Q20E</t>
  </si>
  <si>
    <t>F2Q20E</t>
  </si>
  <si>
    <t>F3Q20E</t>
  </si>
  <si>
    <t>F4Q20E</t>
  </si>
  <si>
    <t>FY 2020E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</si>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</sst>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sz val="11"/>
      <color theme="0"/>
      <name val="Calibri"/>
      <family val="2"/>
      <scheme val="minor"/>
    </font>
    <font>
      <b/>
      <i/>
      <sz val="9"/>
      <color indexed="81"/>
      <name val="Tahoma"/>
      <family val="2"/>
    </font>
    <font>
      <i/>
      <sz val="9"/>
      <color indexed="81"/>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4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0" borderId="0" xfId="0" applyFill="1"/>
    <xf numFmtId="0" fontId="2" fillId="10" borderId="0" xfId="0" applyFont="1" applyFill="1" applyAlignment="1">
      <alignment horizontal="right"/>
    </xf>
    <xf numFmtId="10" fontId="2" fillId="10"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0"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9"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9"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9"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61" fillId="0" borderId="10" xfId="0" applyFont="1" applyBorder="1" applyAlignment="1">
      <alignment horizontal="left" indent="1"/>
    </xf>
    <xf numFmtId="0" fontId="71"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165" fontId="61" fillId="0" borderId="5" xfId="1" quotePrefix="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165" fontId="63" fillId="0" borderId="5" xfId="1" applyNumberFormat="1" applyFont="1" applyFill="1" applyBorder="1" applyAlignment="1">
      <alignment horizontal="right"/>
    </xf>
    <xf numFmtId="165" fontId="62" fillId="0" borderId="5" xfId="1" applyNumberFormat="1" applyFont="1" applyFill="1" applyBorder="1" applyAlignment="1">
      <alignment horizontal="right"/>
    </xf>
    <xf numFmtId="165" fontId="62" fillId="0" borderId="5" xfId="1" quotePrefix="1" applyNumberFormat="1" applyFont="1" applyFill="1" applyBorder="1" applyAlignment="1">
      <alignment horizontal="right"/>
    </xf>
    <xf numFmtId="226" fontId="62" fillId="0" borderId="5" xfId="2" quotePrefix="1" applyNumberFormat="1" applyFont="1" applyFill="1" applyBorder="1" applyAlignment="1">
      <alignment horizontal="right"/>
    </xf>
    <xf numFmtId="164" fontId="55" fillId="0" borderId="5" xfId="1" quotePrefix="1" applyNumberFormat="1" applyFont="1" applyFill="1" applyBorder="1" applyAlignment="1">
      <alignment horizontal="right"/>
    </xf>
    <xf numFmtId="164" fontId="68" fillId="0" borderId="5" xfId="1" quotePrefix="1" applyNumberFormat="1" applyFont="1" applyFill="1" applyBorder="1" applyAlignment="1">
      <alignment horizontal="right"/>
    </xf>
    <xf numFmtId="43" fontId="55" fillId="0" borderId="5" xfId="1" quotePrefix="1" applyFont="1" applyFill="1" applyBorder="1" applyAlignment="1">
      <alignment horizontal="right"/>
    </xf>
    <xf numFmtId="165" fontId="55" fillId="0" borderId="5" xfId="1" quotePrefix="1" applyNumberFormat="1" applyFont="1" applyFill="1" applyBorder="1" applyAlignment="1">
      <alignment horizontal="right"/>
    </xf>
    <xf numFmtId="165" fontId="55" fillId="0" borderId="29" xfId="1" quotePrefix="1" applyNumberFormat="1" applyFont="1" applyFill="1" applyBorder="1" applyAlignment="1">
      <alignment horizontal="right"/>
    </xf>
    <xf numFmtId="164" fontId="54" fillId="0" borderId="5" xfId="1"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9" borderId="1" xfId="0" applyFont="1" applyFill="1" applyBorder="1" applyAlignment="1">
      <alignment horizontal="left"/>
    </xf>
    <xf numFmtId="0" fontId="61" fillId="9" borderId="11" xfId="0" applyFont="1" applyFill="1" applyBorder="1" applyAlignment="1">
      <alignment horizontal="left"/>
    </xf>
    <xf numFmtId="0" fontId="61" fillId="0" borderId="3" xfId="0" applyFont="1" applyFill="1" applyBorder="1" applyAlignment="1">
      <alignment horizontal="left"/>
    </xf>
    <xf numFmtId="0" fontId="61" fillId="0" borderId="4" xfId="0" applyFont="1" applyFill="1" applyBorder="1" applyAlignment="1">
      <alignment horizontal="left"/>
    </xf>
    <xf numFmtId="0" fontId="61" fillId="0" borderId="6" xfId="0" applyFont="1" applyFill="1" applyBorder="1" applyAlignment="1">
      <alignment horizontal="left"/>
    </xf>
    <xf numFmtId="0" fontId="61" fillId="0" borderId="10"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0" fillId="0" borderId="4" xfId="0" applyFont="1" applyBorder="1" applyAlignment="1">
      <alignment horizontal="center" wrapText="1"/>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2" fillId="0" borderId="0" xfId="0" applyFont="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Model'!$B$37:$C$37</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Model'!$L$36,'Earnings Model'!$N$36,'Earnings Model'!$O$36,'Earnings Model'!$P$36,'Earnings Model'!$Q$36,'Earnings Model'!$S$36,'Earnings Model'!$T$36,'Earnings Model'!$U$36)</c:f>
              <c:strCache>
                <c:ptCount val="8"/>
                <c:pt idx="0">
                  <c:v> F4Q18 </c:v>
                </c:pt>
                <c:pt idx="1">
                  <c:v> F1Q19 </c:v>
                </c:pt>
                <c:pt idx="2">
                  <c:v> F2Q19 </c:v>
                </c:pt>
                <c:pt idx="3">
                  <c:v> F3Q19 </c:v>
                </c:pt>
                <c:pt idx="4">
                  <c:v> F4Q19E </c:v>
                </c:pt>
                <c:pt idx="5">
                  <c:v> F1Q20E </c:v>
                </c:pt>
                <c:pt idx="6">
                  <c:v> F2Q20E </c:v>
                </c:pt>
                <c:pt idx="7">
                  <c:v> F3Q20E </c:v>
                </c:pt>
              </c:strCache>
            </c:strRef>
          </c:cat>
          <c:val>
            <c:numRef>
              <c:f>('Earnings Model'!$L$37,'Earnings Model'!$N$37,'Earnings Model'!$O$37,'Earnings Model'!$P$37,'Earnings Model'!$Q$37,'Earnings Model'!$S$37,'Earnings Model'!$T$37,'Earnings Model'!$U$37)</c:f>
              <c:numCache>
                <c:formatCode>_(* #,##0_);_(* \(#,##0\);_(* "-"??_);_(@_)</c:formatCode>
                <c:ptCount val="8"/>
                <c:pt idx="0">
                  <c:v>2287</c:v>
                </c:pt>
                <c:pt idx="1">
                  <c:v>2289</c:v>
                </c:pt>
                <c:pt idx="2">
                  <c:v>2291</c:v>
                </c:pt>
                <c:pt idx="3">
                  <c:v>2290</c:v>
                </c:pt>
                <c:pt idx="4">
                  <c:v>2292</c:v>
                </c:pt>
                <c:pt idx="5">
                  <c:v>2293</c:v>
                </c:pt>
                <c:pt idx="6">
                  <c:v>2294</c:v>
                </c:pt>
                <c:pt idx="7">
                  <c:v>2295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Model'!$B$46</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Model'!$L$36,'Earnings Model'!$N$36,'Earnings Model'!$O$36,'Earnings Model'!$P$36,'Earnings Model'!$Q$36,'Earnings Model'!$S$36,'Earnings Model'!$T$36,'Earnings Model'!$U$36)</c:f>
              <c:strCache>
                <c:ptCount val="8"/>
                <c:pt idx="0">
                  <c:v> F4Q18 </c:v>
                </c:pt>
                <c:pt idx="1">
                  <c:v> F1Q19 </c:v>
                </c:pt>
                <c:pt idx="2">
                  <c:v> F2Q19 </c:v>
                </c:pt>
                <c:pt idx="3">
                  <c:v> F3Q19 </c:v>
                </c:pt>
                <c:pt idx="4">
                  <c:v> F4Q19E </c:v>
                </c:pt>
                <c:pt idx="5">
                  <c:v> F1Q20E </c:v>
                </c:pt>
                <c:pt idx="6">
                  <c:v> F2Q20E </c:v>
                </c:pt>
                <c:pt idx="7">
                  <c:v> F3Q20E </c:v>
                </c:pt>
              </c:strCache>
            </c:strRef>
          </c:cat>
          <c:val>
            <c:numRef>
              <c:f>('Earnings Model'!$L$46,'Earnings Model'!$N$46,'Earnings Model'!$O$46,'Earnings Model'!$P$46,'Earnings Model'!$Q$46,'Earnings Model'!$S$46,'Earnings Model'!$T$46,'Earnings Model'!$U$46)</c:f>
              <c:numCache>
                <c:formatCode>0.0%</c:formatCode>
                <c:ptCount val="8"/>
                <c:pt idx="0">
                  <c:v>3.2000000000000001E-2</c:v>
                </c:pt>
                <c:pt idx="1">
                  <c:v>2.5000000000000001E-2</c:v>
                </c:pt>
                <c:pt idx="2">
                  <c:v>0.03</c:v>
                </c:pt>
                <c:pt idx="3">
                  <c:v>3.5999999999999997E-2</c:v>
                </c:pt>
                <c:pt idx="4">
                  <c:v>5.0999999999999997E-2</c:v>
                </c:pt>
                <c:pt idx="5">
                  <c:v>4.474299076543746E-2</c:v>
                </c:pt>
                <c:pt idx="6">
                  <c:v>3.8329362625897388E-2</c:v>
                </c:pt>
                <c:pt idx="7">
                  <c:v>3.5339330246263082E-2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67"/>
  <sheetViews>
    <sheetView showGridLines="0" tabSelected="1" topLeftCell="A2" zoomScaleNormal="100" workbookViewId="0">
      <pane xSplit="3" ySplit="12" topLeftCell="P14" activePane="bottomRight" state="frozen"/>
      <selection activeCell="A2" sqref="A2"/>
      <selection pane="topRight" activeCell="D2" sqref="D2"/>
      <selection pane="bottomLeft" activeCell="A14" sqref="A14"/>
      <selection pane="bottomRight" activeCell="B12" sqref="B12:C12"/>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5703125" style="3" customWidth="1" outlineLevel="1"/>
    <col min="6" max="7" width="11.5703125" style="11" customWidth="1" outlineLevel="1"/>
    <col min="8" max="8" width="11.5703125" style="11" customWidth="1"/>
    <col min="9" max="10" width="11.5703125" style="3" customWidth="1" outlineLevel="1"/>
    <col min="11" max="12" width="11.5703125" style="11" customWidth="1" outlineLevel="1"/>
    <col min="13" max="13" width="11.5703125" style="11" customWidth="1"/>
    <col min="14" max="15" width="11.5703125" style="3" customWidth="1" outlineLevel="1"/>
    <col min="16" max="17" width="11.5703125" style="11" customWidth="1" outlineLevel="1"/>
    <col min="18" max="18" width="11.5703125" style="11" customWidth="1"/>
    <col min="19" max="20" width="11.5703125" style="3" customWidth="1" outlineLevel="1"/>
    <col min="21" max="22" width="11.5703125" style="11" customWidth="1" outlineLevel="1"/>
    <col min="23" max="23" width="11.5703125" style="11" customWidth="1"/>
    <col min="24" max="16384" width="8.85546875" style="4"/>
  </cols>
  <sheetData>
    <row r="1" spans="1:45" ht="9" customHeight="1" x14ac:dyDescent="0.25">
      <c r="B1" s="167" t="s">
        <v>14</v>
      </c>
    </row>
    <row r="2" spans="1:45" ht="45" customHeight="1" x14ac:dyDescent="0.25">
      <c r="B2" s="216" t="s">
        <v>13</v>
      </c>
      <c r="C2" s="217"/>
      <c r="F2" s="12"/>
    </row>
    <row r="3" spans="1:45" x14ac:dyDescent="0.25">
      <c r="B3" s="220" t="s">
        <v>108</v>
      </c>
      <c r="C3" s="221"/>
    </row>
    <row r="4" spans="1:45" hidden="1" x14ac:dyDescent="0.25">
      <c r="B4" s="222"/>
      <c r="C4" s="223"/>
      <c r="AS4" s="167" t="s">
        <v>14</v>
      </c>
    </row>
    <row r="5" spans="1:45" hidden="1" x14ac:dyDescent="0.25">
      <c r="B5" s="224"/>
      <c r="C5" s="225"/>
      <c r="D5" s="14"/>
      <c r="E5" s="14"/>
      <c r="F5" s="14"/>
      <c r="G5" s="14"/>
      <c r="H5" s="13"/>
      <c r="I5" s="13"/>
      <c r="J5" s="13"/>
      <c r="K5" s="13"/>
      <c r="L5" s="13"/>
      <c r="M5" s="13"/>
      <c r="N5" s="13"/>
      <c r="O5" s="13"/>
      <c r="P5" s="13"/>
      <c r="Q5" s="13"/>
      <c r="R5" s="13"/>
      <c r="S5" s="13"/>
      <c r="T5" s="13"/>
      <c r="U5" s="13"/>
      <c r="V5" s="13"/>
      <c r="W5" s="13"/>
    </row>
    <row r="6" spans="1:45" ht="14.45" hidden="1" customHeight="1" x14ac:dyDescent="0.25">
      <c r="B6" s="74"/>
      <c r="C6" s="75"/>
      <c r="D6" s="13"/>
      <c r="E6" s="13"/>
      <c r="F6" s="13"/>
      <c r="G6" s="13"/>
      <c r="H6" s="15"/>
      <c r="I6" s="13"/>
      <c r="J6" s="13"/>
      <c r="K6" s="13"/>
      <c r="L6" s="13"/>
      <c r="M6" s="13"/>
      <c r="N6" s="13"/>
      <c r="O6" s="77"/>
      <c r="P6" s="76"/>
      <c r="Q6" s="13"/>
      <c r="R6" s="77"/>
      <c r="S6" s="13"/>
      <c r="T6" s="13"/>
      <c r="U6" s="13"/>
      <c r="V6" s="13"/>
      <c r="W6" s="13"/>
    </row>
    <row r="7" spans="1:45" ht="14.45" hidden="1" customHeight="1" x14ac:dyDescent="0.25">
      <c r="B7" s="62"/>
      <c r="C7" s="71"/>
      <c r="D7" s="39"/>
      <c r="E7" s="39"/>
      <c r="F7" s="39"/>
      <c r="G7" s="39"/>
      <c r="H7" s="39"/>
      <c r="I7" s="39"/>
      <c r="J7" s="39"/>
      <c r="K7" s="39"/>
      <c r="L7" s="39"/>
      <c r="M7" s="39"/>
      <c r="N7" s="39"/>
      <c r="O7" s="77"/>
      <c r="P7" s="76"/>
      <c r="Q7" s="39"/>
      <c r="R7" s="77"/>
      <c r="S7" s="39"/>
      <c r="T7" s="39"/>
      <c r="U7" s="39"/>
      <c r="V7" s="39"/>
      <c r="W7" s="39"/>
    </row>
    <row r="8" spans="1:45" ht="14.45" hidden="1" customHeight="1" x14ac:dyDescent="0.25">
      <c r="B8" s="62"/>
      <c r="C8" s="73"/>
      <c r="D8" s="39"/>
      <c r="E8" s="39"/>
      <c r="F8" s="39"/>
      <c r="G8" s="39"/>
      <c r="H8" s="39"/>
      <c r="I8" s="39"/>
      <c r="J8" s="72"/>
      <c r="K8" s="39"/>
      <c r="L8" s="39"/>
      <c r="M8" s="39"/>
      <c r="N8" s="26"/>
      <c r="O8" s="77"/>
      <c r="P8" s="100"/>
      <c r="Q8" s="100"/>
      <c r="R8" s="26"/>
      <c r="S8" s="100"/>
      <c r="T8" s="100"/>
      <c r="U8" s="44"/>
      <c r="V8" s="26"/>
      <c r="W8" s="26"/>
    </row>
    <row r="9" spans="1:45" ht="14.45" hidden="1" customHeight="1" x14ac:dyDescent="0.25">
      <c r="B9" s="153"/>
      <c r="C9" s="192"/>
      <c r="D9" s="44"/>
      <c r="E9" s="44"/>
      <c r="F9" s="44"/>
      <c r="G9" s="44"/>
      <c r="H9" s="44"/>
      <c r="I9" s="44"/>
      <c r="J9" s="39"/>
      <c r="K9" s="39"/>
      <c r="L9" s="39"/>
      <c r="M9" s="44"/>
      <c r="N9" s="186"/>
      <c r="O9" s="26"/>
      <c r="P9" s="101"/>
      <c r="Q9" s="102"/>
      <c r="R9" s="39"/>
      <c r="S9" s="78"/>
      <c r="T9" s="39"/>
      <c r="U9" s="39"/>
      <c r="V9" s="39"/>
      <c r="W9" s="44"/>
    </row>
    <row r="10" spans="1:45" ht="14.45" hidden="1" customHeight="1" x14ac:dyDescent="0.25">
      <c r="B10" s="197"/>
      <c r="C10" s="198"/>
      <c r="D10" s="44"/>
      <c r="E10" s="44"/>
      <c r="F10" s="44"/>
      <c r="G10" s="44"/>
      <c r="H10" s="44"/>
      <c r="I10" s="44"/>
      <c r="J10" s="39"/>
      <c r="K10" s="39"/>
      <c r="L10" s="39"/>
      <c r="M10" s="44"/>
      <c r="N10" s="186"/>
      <c r="O10" s="26"/>
      <c r="P10" s="101"/>
      <c r="Q10" s="26"/>
      <c r="R10" s="26"/>
      <c r="S10" s="26"/>
      <c r="T10" s="26"/>
      <c r="U10" s="26"/>
      <c r="V10" s="26"/>
      <c r="W10" s="177"/>
    </row>
    <row r="11" spans="1:45" ht="14.25" customHeight="1" x14ac:dyDescent="0.25">
      <c r="B11" s="167" t="s">
        <v>14</v>
      </c>
      <c r="D11" s="17"/>
      <c r="E11" s="17"/>
      <c r="F11" s="17"/>
      <c r="G11" s="17"/>
      <c r="H11" s="17"/>
      <c r="I11" s="17"/>
      <c r="J11" s="17"/>
      <c r="K11" s="17"/>
      <c r="L11" s="17"/>
      <c r="M11" s="17"/>
      <c r="N11" s="110"/>
      <c r="O11" s="191"/>
      <c r="P11" s="191"/>
      <c r="Q11" s="17"/>
      <c r="R11" s="14"/>
      <c r="S11" s="17"/>
      <c r="T11" s="17"/>
      <c r="U11" s="17"/>
      <c r="V11" s="13"/>
      <c r="W11" s="13"/>
    </row>
    <row r="12" spans="1:45" ht="15.75" x14ac:dyDescent="0.25">
      <c r="A12" s="230"/>
      <c r="B12" s="214" t="s">
        <v>58</v>
      </c>
      <c r="C12" s="215"/>
      <c r="D12" s="23" t="s">
        <v>69</v>
      </c>
      <c r="E12" s="23" t="s">
        <v>70</v>
      </c>
      <c r="F12" s="23" t="s">
        <v>71</v>
      </c>
      <c r="G12" s="23" t="s">
        <v>72</v>
      </c>
      <c r="H12" s="66" t="s">
        <v>72</v>
      </c>
      <c r="I12" s="23" t="s">
        <v>68</v>
      </c>
      <c r="J12" s="23" t="s">
        <v>67</v>
      </c>
      <c r="K12" s="23" t="s">
        <v>66</v>
      </c>
      <c r="L12" s="23" t="s">
        <v>65</v>
      </c>
      <c r="M12" s="66" t="s">
        <v>65</v>
      </c>
      <c r="N12" s="23" t="s">
        <v>73</v>
      </c>
      <c r="O12" s="23" t="s">
        <v>74</v>
      </c>
      <c r="P12" s="23" t="s">
        <v>75</v>
      </c>
      <c r="Q12" s="25" t="s">
        <v>76</v>
      </c>
      <c r="R12" s="68" t="s">
        <v>76</v>
      </c>
      <c r="S12" s="25" t="s">
        <v>77</v>
      </c>
      <c r="T12" s="25" t="s">
        <v>78</v>
      </c>
      <c r="U12" s="25" t="s">
        <v>79</v>
      </c>
      <c r="V12" s="25" t="s">
        <v>80</v>
      </c>
      <c r="W12" s="68" t="s">
        <v>80</v>
      </c>
    </row>
    <row r="13" spans="1:45" ht="17.45" customHeight="1" x14ac:dyDescent="0.4">
      <c r="A13" s="230"/>
      <c r="B13" s="226" t="s">
        <v>3</v>
      </c>
      <c r="C13" s="227"/>
      <c r="D13" s="24" t="s">
        <v>39</v>
      </c>
      <c r="E13" s="24" t="s">
        <v>40</v>
      </c>
      <c r="F13" s="24" t="s">
        <v>41</v>
      </c>
      <c r="G13" s="24" t="s">
        <v>42</v>
      </c>
      <c r="H13" s="67" t="s">
        <v>43</v>
      </c>
      <c r="I13" s="24" t="s">
        <v>44</v>
      </c>
      <c r="J13" s="24" t="s">
        <v>45</v>
      </c>
      <c r="K13" s="24" t="s">
        <v>46</v>
      </c>
      <c r="L13" s="24" t="s">
        <v>47</v>
      </c>
      <c r="M13" s="67" t="s">
        <v>48</v>
      </c>
      <c r="N13" s="24" t="s">
        <v>49</v>
      </c>
      <c r="O13" s="24" t="s">
        <v>104</v>
      </c>
      <c r="P13" s="24" t="s">
        <v>105</v>
      </c>
      <c r="Q13" s="22" t="s">
        <v>97</v>
      </c>
      <c r="R13" s="69" t="s">
        <v>98</v>
      </c>
      <c r="S13" s="22" t="s">
        <v>99</v>
      </c>
      <c r="T13" s="22" t="s">
        <v>100</v>
      </c>
      <c r="U13" s="22" t="s">
        <v>101</v>
      </c>
      <c r="V13" s="22" t="s">
        <v>102</v>
      </c>
      <c r="W13" s="69" t="s">
        <v>103</v>
      </c>
    </row>
    <row r="14" spans="1:45" x14ac:dyDescent="0.25">
      <c r="B14" s="212" t="s">
        <v>59</v>
      </c>
      <c r="C14" s="213"/>
      <c r="D14" s="26">
        <v>23887</v>
      </c>
      <c r="E14" s="26">
        <v>28108</v>
      </c>
      <c r="F14" s="26">
        <v>25026</v>
      </c>
      <c r="G14" s="26">
        <v>23883</v>
      </c>
      <c r="H14" s="27">
        <f>SUM(D14:G14)</f>
        <v>100904</v>
      </c>
      <c r="I14" s="26">
        <v>24947</v>
      </c>
      <c r="J14" s="26">
        <v>30463</v>
      </c>
      <c r="K14" s="26">
        <v>26302</v>
      </c>
      <c r="L14" s="26">
        <v>26491</v>
      </c>
      <c r="M14" s="27">
        <f>SUM(I14:L14)</f>
        <v>108203</v>
      </c>
      <c r="N14" s="168">
        <v>26381</v>
      </c>
      <c r="O14" s="168">
        <v>30839</v>
      </c>
      <c r="P14" s="168">
        <v>27223</v>
      </c>
      <c r="Q14" s="168">
        <f t="shared" ref="Q14" si="0">+Q42</f>
        <v>25945.407669989003</v>
      </c>
      <c r="R14" s="188">
        <f>SUM(N14:Q14)</f>
        <v>110388.407669989</v>
      </c>
      <c r="S14" s="168">
        <f t="shared" ref="S14:V14" si="1">+S42</f>
        <v>27611.000000000004</v>
      </c>
      <c r="T14" s="168">
        <f t="shared" si="1"/>
        <v>32075</v>
      </c>
      <c r="U14" s="168">
        <f t="shared" si="1"/>
        <v>28235</v>
      </c>
      <c r="V14" s="168">
        <f t="shared" si="1"/>
        <v>26927.646136357118</v>
      </c>
      <c r="W14" s="188">
        <f>SUM(S14:V14)</f>
        <v>114848.64613635711</v>
      </c>
    </row>
    <row r="15" spans="1:45" ht="17.25" outlineLevel="1" x14ac:dyDescent="0.4">
      <c r="B15" s="233" t="s">
        <v>50</v>
      </c>
      <c r="C15" s="234"/>
      <c r="D15" s="30">
        <v>15733</v>
      </c>
      <c r="E15" s="30">
        <v>18647</v>
      </c>
      <c r="F15" s="30">
        <v>16378</v>
      </c>
      <c r="G15" s="30">
        <v>15790</v>
      </c>
      <c r="H15" s="31">
        <f>SUM(D15:G15)</f>
        <v>66548</v>
      </c>
      <c r="I15" s="30">
        <v>16330</v>
      </c>
      <c r="J15" s="30">
        <v>20098</v>
      </c>
      <c r="K15" s="30">
        <v>17151</v>
      </c>
      <c r="L15" s="30">
        <v>17464</v>
      </c>
      <c r="M15" s="31">
        <f>SUM(I15:L15)</f>
        <v>71043</v>
      </c>
      <c r="N15" s="169">
        <v>17364</v>
      </c>
      <c r="O15" s="169">
        <v>20407</v>
      </c>
      <c r="P15" s="169">
        <v>17836</v>
      </c>
      <c r="Q15" s="169">
        <f>(1-Q55)*Q14</f>
        <v>17072.078246852761</v>
      </c>
      <c r="R15" s="199">
        <f>SUM(N15:Q15)</f>
        <v>72679.078246852761</v>
      </c>
      <c r="S15" s="169">
        <f>(1-S55)*S14</f>
        <v>18223.259999999998</v>
      </c>
      <c r="T15" s="169">
        <f>(1-T55)*T14</f>
        <v>21297.8</v>
      </c>
      <c r="U15" s="169">
        <f>(1-U55)*U14</f>
        <v>18533.453999999998</v>
      </c>
      <c r="V15" s="169">
        <f>(1-V55)*V14</f>
        <v>17718.391157722981</v>
      </c>
      <c r="W15" s="199">
        <f>SUM(S15:V15)</f>
        <v>75772.905157722969</v>
      </c>
    </row>
    <row r="16" spans="1:45" s="20" customFormat="1" outlineLevel="1" x14ac:dyDescent="0.25">
      <c r="B16" s="60" t="s">
        <v>38</v>
      </c>
      <c r="C16" s="63"/>
      <c r="D16" s="34">
        <f t="shared" ref="D16:K16" si="2">+D14-D15</f>
        <v>8154</v>
      </c>
      <c r="E16" s="34">
        <f t="shared" si="2"/>
        <v>9461</v>
      </c>
      <c r="F16" s="34">
        <f t="shared" si="2"/>
        <v>8648</v>
      </c>
      <c r="G16" s="34">
        <f t="shared" si="2"/>
        <v>8093</v>
      </c>
      <c r="H16" s="35">
        <f t="shared" si="2"/>
        <v>34356</v>
      </c>
      <c r="I16" s="34">
        <f t="shared" si="2"/>
        <v>8617</v>
      </c>
      <c r="J16" s="34">
        <f t="shared" si="2"/>
        <v>10365</v>
      </c>
      <c r="K16" s="34">
        <f t="shared" si="2"/>
        <v>9151</v>
      </c>
      <c r="L16" s="34">
        <f>+L14-L15</f>
        <v>9027</v>
      </c>
      <c r="M16" s="35">
        <f t="shared" ref="M16:W16" si="3">+M14-M15</f>
        <v>37160</v>
      </c>
      <c r="N16" s="170">
        <f>+N14-N15</f>
        <v>9017</v>
      </c>
      <c r="O16" s="170">
        <f t="shared" si="3"/>
        <v>10432</v>
      </c>
      <c r="P16" s="170">
        <f t="shared" si="3"/>
        <v>9387</v>
      </c>
      <c r="Q16" s="170">
        <f t="shared" si="3"/>
        <v>8873.3294231362415</v>
      </c>
      <c r="R16" s="200">
        <f t="shared" si="3"/>
        <v>37709.329423136238</v>
      </c>
      <c r="S16" s="170">
        <f t="shared" si="3"/>
        <v>9387.7400000000052</v>
      </c>
      <c r="T16" s="170">
        <f t="shared" si="3"/>
        <v>10777.2</v>
      </c>
      <c r="U16" s="170">
        <f t="shared" si="3"/>
        <v>9701.5460000000021</v>
      </c>
      <c r="V16" s="170">
        <f t="shared" si="3"/>
        <v>9209.2549786341369</v>
      </c>
      <c r="W16" s="200">
        <f t="shared" si="3"/>
        <v>39075.740978634145</v>
      </c>
    </row>
    <row r="17" spans="1:23" ht="17.25" customHeight="1" outlineLevel="1" x14ac:dyDescent="0.25">
      <c r="B17" s="118" t="s">
        <v>60</v>
      </c>
      <c r="C17" s="28"/>
      <c r="D17" s="26">
        <v>4361</v>
      </c>
      <c r="E17" s="26">
        <v>4549</v>
      </c>
      <c r="F17" s="26">
        <v>4514</v>
      </c>
      <c r="G17" s="26">
        <v>4440</v>
      </c>
      <c r="H17" s="27">
        <f>SUM(D17:G17)</f>
        <v>17864</v>
      </c>
      <c r="I17" s="26">
        <v>4779</v>
      </c>
      <c r="J17" s="26">
        <v>5004</v>
      </c>
      <c r="K17" s="26">
        <v>4808</v>
      </c>
      <c r="L17" s="26">
        <v>4922</v>
      </c>
      <c r="M17" s="27">
        <f>SUM(I17:L17)</f>
        <v>19513</v>
      </c>
      <c r="N17" s="168">
        <v>4940</v>
      </c>
      <c r="O17" s="168">
        <v>5044</v>
      </c>
      <c r="P17" s="168">
        <v>4942</v>
      </c>
      <c r="Q17" s="26">
        <f>Q14*Q56</f>
        <v>4773.9550112779762</v>
      </c>
      <c r="R17" s="27">
        <f>SUM(N17:Q17)</f>
        <v>19699.955011277976</v>
      </c>
      <c r="S17" s="26">
        <f>S14*S56</f>
        <v>5091.0932988381674</v>
      </c>
      <c r="T17" s="26">
        <f>T14*T56</f>
        <v>5154.4661604557305</v>
      </c>
      <c r="U17" s="26">
        <f>U14*U56</f>
        <v>5025.83</v>
      </c>
      <c r="V17" s="26">
        <f>V14*V56</f>
        <v>4927.7592429533524</v>
      </c>
      <c r="W17" s="27">
        <f>SUM(S17:V17)</f>
        <v>20199.14870224725</v>
      </c>
    </row>
    <row r="18" spans="1:23" outlineLevel="1" x14ac:dyDescent="0.25">
      <c r="B18" s="118" t="s">
        <v>51</v>
      </c>
      <c r="C18" s="28"/>
      <c r="D18" s="26">
        <v>444</v>
      </c>
      <c r="E18" s="26">
        <v>449</v>
      </c>
      <c r="F18" s="26">
        <v>454</v>
      </c>
      <c r="G18" s="26">
        <v>464</v>
      </c>
      <c r="H18" s="27">
        <f t="shared" ref="H18" si="4">SUM(D18:G18)</f>
        <v>1811</v>
      </c>
      <c r="I18" s="26">
        <v>457</v>
      </c>
      <c r="J18" s="26">
        <v>460</v>
      </c>
      <c r="K18" s="26">
        <v>473</v>
      </c>
      <c r="L18" s="26">
        <v>480</v>
      </c>
      <c r="M18" s="27">
        <f t="shared" ref="M18" si="5">SUM(I18:L18)</f>
        <v>1870</v>
      </c>
      <c r="N18" s="168">
        <v>480</v>
      </c>
      <c r="O18" s="168">
        <v>492</v>
      </c>
      <c r="P18" s="168">
        <v>498</v>
      </c>
      <c r="Q18" s="49">
        <v>595.12552665017051</v>
      </c>
      <c r="R18" s="188">
        <f t="shared" ref="R18" si="6">SUM(N18:Q18)</f>
        <v>2065.1255266501703</v>
      </c>
      <c r="S18" s="49">
        <v>581.61661609880105</v>
      </c>
      <c r="T18" s="49">
        <v>594.43853387101524</v>
      </c>
      <c r="U18" s="49">
        <v>608.87062501134471</v>
      </c>
      <c r="V18" s="49">
        <v>605.6706394636094</v>
      </c>
      <c r="W18" s="27">
        <f t="shared" ref="W18" si="7">SUM(S18:V18)</f>
        <v>2390.5964144447703</v>
      </c>
    </row>
    <row r="19" spans="1:23" ht="17.25" customHeight="1" outlineLevel="1" x14ac:dyDescent="0.4">
      <c r="B19" s="118" t="s">
        <v>61</v>
      </c>
      <c r="C19" s="28"/>
      <c r="D19" s="30">
        <v>0</v>
      </c>
      <c r="E19" s="30">
        <v>0</v>
      </c>
      <c r="F19" s="30">
        <v>0</v>
      </c>
      <c r="G19" s="30">
        <v>0</v>
      </c>
      <c r="H19" s="31">
        <f t="shared" ref="H19" si="8">SUM(D19:G19)</f>
        <v>0</v>
      </c>
      <c r="I19" s="30">
        <v>0</v>
      </c>
      <c r="J19" s="30">
        <v>0</v>
      </c>
      <c r="K19" s="30">
        <v>0</v>
      </c>
      <c r="L19" s="30">
        <v>247</v>
      </c>
      <c r="M19" s="31">
        <f t="shared" ref="M19" si="9">SUM(I19:L19)</f>
        <v>247</v>
      </c>
      <c r="N19" s="169">
        <v>0</v>
      </c>
      <c r="O19" s="169">
        <v>0</v>
      </c>
      <c r="P19" s="169">
        <v>0</v>
      </c>
      <c r="Q19" s="48">
        <v>0</v>
      </c>
      <c r="R19" s="31">
        <f t="shared" ref="R19" si="10">SUM(N19:Q19)</f>
        <v>0</v>
      </c>
      <c r="S19" s="48">
        <v>0</v>
      </c>
      <c r="T19" s="48">
        <v>0</v>
      </c>
      <c r="U19" s="48">
        <v>0</v>
      </c>
      <c r="V19" s="48">
        <v>0</v>
      </c>
      <c r="W19" s="31">
        <f t="shared" ref="W19" si="11">SUM(S19:V19)</f>
        <v>0</v>
      </c>
    </row>
    <row r="20" spans="1:23" s="33" customFormat="1" ht="17.25" customHeight="1" x14ac:dyDescent="0.4">
      <c r="B20" s="119" t="s">
        <v>10</v>
      </c>
      <c r="C20" s="32"/>
      <c r="D20" s="148">
        <f t="shared" ref="D20:K20" si="12">SUM(D17:D19)</f>
        <v>4805</v>
      </c>
      <c r="E20" s="148">
        <f t="shared" si="12"/>
        <v>4998</v>
      </c>
      <c r="F20" s="148">
        <f t="shared" si="12"/>
        <v>4968</v>
      </c>
      <c r="G20" s="148">
        <f t="shared" si="12"/>
        <v>4904</v>
      </c>
      <c r="H20" s="149">
        <f t="shared" si="12"/>
        <v>19675</v>
      </c>
      <c r="I20" s="148">
        <f t="shared" si="12"/>
        <v>5236</v>
      </c>
      <c r="J20" s="148">
        <f t="shared" si="12"/>
        <v>5464</v>
      </c>
      <c r="K20" s="148">
        <f t="shared" si="12"/>
        <v>5281</v>
      </c>
      <c r="L20" s="148">
        <f>SUM(L17:L19)</f>
        <v>5649</v>
      </c>
      <c r="M20" s="149">
        <f t="shared" ref="M20:W20" si="13">SUM(M17:M19)</f>
        <v>21630</v>
      </c>
      <c r="N20" s="171">
        <f>SUM(N17:N19)</f>
        <v>5420</v>
      </c>
      <c r="O20" s="171">
        <f t="shared" si="13"/>
        <v>5536</v>
      </c>
      <c r="P20" s="171">
        <f t="shared" si="13"/>
        <v>5440</v>
      </c>
      <c r="Q20" s="148">
        <f t="shared" si="13"/>
        <v>5369.0805379281464</v>
      </c>
      <c r="R20" s="149">
        <f t="shared" si="13"/>
        <v>21765.080537928145</v>
      </c>
      <c r="S20" s="148">
        <f t="shared" si="13"/>
        <v>5672.7099149369687</v>
      </c>
      <c r="T20" s="148">
        <f t="shared" si="13"/>
        <v>5748.9046943267458</v>
      </c>
      <c r="U20" s="148">
        <f t="shared" si="13"/>
        <v>5634.7006250113445</v>
      </c>
      <c r="V20" s="148">
        <f t="shared" si="13"/>
        <v>5533.4298824169618</v>
      </c>
      <c r="W20" s="149">
        <f t="shared" si="13"/>
        <v>22589.745116692022</v>
      </c>
    </row>
    <row r="21" spans="1:23" x14ac:dyDescent="0.25">
      <c r="B21" s="62" t="s">
        <v>17</v>
      </c>
      <c r="C21" s="29"/>
      <c r="D21" s="34">
        <f t="shared" ref="D21:K21" si="14">D16-D20</f>
        <v>3349</v>
      </c>
      <c r="E21" s="34">
        <f t="shared" si="14"/>
        <v>4463</v>
      </c>
      <c r="F21" s="34">
        <f t="shared" si="14"/>
        <v>3680</v>
      </c>
      <c r="G21" s="34">
        <f t="shared" si="14"/>
        <v>3189</v>
      </c>
      <c r="H21" s="35">
        <f t="shared" si="14"/>
        <v>14681</v>
      </c>
      <c r="I21" s="34">
        <f t="shared" si="14"/>
        <v>3381</v>
      </c>
      <c r="J21" s="34">
        <f t="shared" si="14"/>
        <v>4901</v>
      </c>
      <c r="K21" s="34">
        <f t="shared" si="14"/>
        <v>3870</v>
      </c>
      <c r="L21" s="34">
        <f>L16-L20</f>
        <v>3378</v>
      </c>
      <c r="M21" s="35">
        <f t="shared" ref="M21:W21" si="15">M16-M20</f>
        <v>15530</v>
      </c>
      <c r="N21" s="170">
        <f>N16-N20</f>
        <v>3597</v>
      </c>
      <c r="O21" s="170">
        <f t="shared" si="15"/>
        <v>4896</v>
      </c>
      <c r="P21" s="170">
        <f t="shared" si="15"/>
        <v>3947</v>
      </c>
      <c r="Q21" s="34">
        <f t="shared" si="15"/>
        <v>3504.2488852080951</v>
      </c>
      <c r="R21" s="35">
        <f t="shared" si="15"/>
        <v>15944.248885208093</v>
      </c>
      <c r="S21" s="34">
        <f t="shared" si="15"/>
        <v>3715.0300850630365</v>
      </c>
      <c r="T21" s="34">
        <f t="shared" si="15"/>
        <v>5028.2953056732549</v>
      </c>
      <c r="U21" s="34">
        <f t="shared" si="15"/>
        <v>4066.8453749886576</v>
      </c>
      <c r="V21" s="34">
        <f t="shared" si="15"/>
        <v>3675.8250962171751</v>
      </c>
      <c r="W21" s="35">
        <f t="shared" si="15"/>
        <v>16485.995861942123</v>
      </c>
    </row>
    <row r="22" spans="1:23" x14ac:dyDescent="0.25">
      <c r="B22" s="64" t="s">
        <v>62</v>
      </c>
      <c r="C22" s="28"/>
      <c r="D22" s="26">
        <v>-13</v>
      </c>
      <c r="E22" s="26">
        <v>-16</v>
      </c>
      <c r="F22" s="26">
        <v>-22</v>
      </c>
      <c r="G22" s="26">
        <v>-23</v>
      </c>
      <c r="H22" s="27">
        <f t="shared" ref="H22" si="16">SUM(D22:G22)</f>
        <v>-74</v>
      </c>
      <c r="I22" s="26">
        <v>-22</v>
      </c>
      <c r="J22" s="26">
        <v>-26</v>
      </c>
      <c r="K22" s="26">
        <v>-25</v>
      </c>
      <c r="L22" s="26">
        <v>-20</v>
      </c>
      <c r="M22" s="27">
        <f t="shared" ref="M22" si="17">SUM(I22:L22)</f>
        <v>-93</v>
      </c>
      <c r="N22" s="168">
        <v>-15</v>
      </c>
      <c r="O22" s="168">
        <v>-19</v>
      </c>
      <c r="P22" s="168">
        <v>-22</v>
      </c>
      <c r="Q22" s="49">
        <v>-21.931000000000004</v>
      </c>
      <c r="R22" s="27">
        <f t="shared" ref="R22" si="18">SUM(N22:Q22)</f>
        <v>-77.931000000000012</v>
      </c>
      <c r="S22" s="49">
        <v>-11.260064608549667</v>
      </c>
      <c r="T22" s="49">
        <v>-25.885888413613547</v>
      </c>
      <c r="U22" s="49">
        <v>-25.296040702229387</v>
      </c>
      <c r="V22" s="49">
        <v>-21.402681512069677</v>
      </c>
      <c r="W22" s="27">
        <f t="shared" ref="W22" si="19">SUM(S22:V22)</f>
        <v>-83.84467523646228</v>
      </c>
    </row>
    <row r="23" spans="1:23" x14ac:dyDescent="0.25">
      <c r="B23" s="64" t="s">
        <v>52</v>
      </c>
      <c r="C23" s="57"/>
      <c r="D23" s="26">
        <v>254</v>
      </c>
      <c r="E23" s="26">
        <v>265</v>
      </c>
      <c r="F23" s="26">
        <v>269</v>
      </c>
      <c r="G23" s="26">
        <v>269</v>
      </c>
      <c r="H23" s="27">
        <f t="shared" ref="H23" si="20">SUM(D23:G23)</f>
        <v>1057</v>
      </c>
      <c r="I23" s="26">
        <v>261</v>
      </c>
      <c r="J23" s="26">
        <v>272</v>
      </c>
      <c r="K23" s="26">
        <v>249</v>
      </c>
      <c r="L23" s="26">
        <v>269</v>
      </c>
      <c r="M23" s="27">
        <f t="shared" ref="M23:M24" si="21">SUM(I23:L23)</f>
        <v>1051</v>
      </c>
      <c r="N23" s="168">
        <v>288</v>
      </c>
      <c r="O23" s="168">
        <v>302</v>
      </c>
      <c r="P23" s="168">
        <v>302</v>
      </c>
      <c r="Q23" s="49">
        <v>305.84007375323978</v>
      </c>
      <c r="R23" s="27">
        <f t="shared" ref="R23" si="22">SUM(N23:Q23)</f>
        <v>1197.8400737532397</v>
      </c>
      <c r="S23" s="49">
        <v>305.84007375323972</v>
      </c>
      <c r="T23" s="49">
        <v>305.38131364260988</v>
      </c>
      <c r="U23" s="49">
        <v>305.38131364260988</v>
      </c>
      <c r="V23" s="49">
        <v>304.92324167214593</v>
      </c>
      <c r="W23" s="27">
        <f t="shared" ref="W23" si="23">SUM(S23:V23)</f>
        <v>1221.5259427106055</v>
      </c>
    </row>
    <row r="24" spans="1:23" ht="17.25" x14ac:dyDescent="0.4">
      <c r="B24" s="64" t="s">
        <v>63</v>
      </c>
      <c r="C24" s="57"/>
      <c r="D24" s="30">
        <v>0</v>
      </c>
      <c r="E24" s="30">
        <v>0</v>
      </c>
      <c r="F24" s="30">
        <v>0</v>
      </c>
      <c r="G24" s="30">
        <v>0</v>
      </c>
      <c r="H24" s="31">
        <f t="shared" ref="H24" si="24">SUM(D24:G24)</f>
        <v>0</v>
      </c>
      <c r="I24" s="30">
        <v>0</v>
      </c>
      <c r="J24" s="30">
        <v>0</v>
      </c>
      <c r="K24" s="30">
        <v>0</v>
      </c>
      <c r="L24" s="30">
        <v>16</v>
      </c>
      <c r="M24" s="31">
        <f t="shared" si="21"/>
        <v>16</v>
      </c>
      <c r="N24" s="169">
        <v>0</v>
      </c>
      <c r="O24" s="169">
        <v>0</v>
      </c>
      <c r="P24" s="169">
        <v>0</v>
      </c>
      <c r="Q24" s="48">
        <v>0</v>
      </c>
      <c r="R24" s="31">
        <f t="shared" ref="R24" si="25">SUM(N24:Q24)</f>
        <v>0</v>
      </c>
      <c r="S24" s="48">
        <v>0</v>
      </c>
      <c r="T24" s="48">
        <v>0</v>
      </c>
      <c r="U24" s="48">
        <v>0</v>
      </c>
      <c r="V24" s="48">
        <v>0</v>
      </c>
      <c r="W24" s="31">
        <f t="shared" ref="W24" si="26">SUM(S24:V24)</f>
        <v>0</v>
      </c>
    </row>
    <row r="25" spans="1:23" ht="17.25" x14ac:dyDescent="0.4">
      <c r="B25" s="218" t="s">
        <v>96</v>
      </c>
      <c r="C25" s="219"/>
      <c r="D25" s="148">
        <f>SUM(D22:D24)</f>
        <v>241</v>
      </c>
      <c r="E25" s="148">
        <f t="shared" ref="E25:W25" si="27">SUM(E22:E24)</f>
        <v>249</v>
      </c>
      <c r="F25" s="148">
        <f t="shared" si="27"/>
        <v>247</v>
      </c>
      <c r="G25" s="148">
        <f>SUM(G22:G24)</f>
        <v>246</v>
      </c>
      <c r="H25" s="149">
        <f t="shared" si="27"/>
        <v>983</v>
      </c>
      <c r="I25" s="148">
        <f t="shared" si="27"/>
        <v>239</v>
      </c>
      <c r="J25" s="148">
        <f t="shared" si="27"/>
        <v>246</v>
      </c>
      <c r="K25" s="148">
        <f t="shared" si="27"/>
        <v>224</v>
      </c>
      <c r="L25" s="148">
        <f>SUM(L22:L24)</f>
        <v>265</v>
      </c>
      <c r="M25" s="149">
        <f t="shared" si="27"/>
        <v>974</v>
      </c>
      <c r="N25" s="171">
        <f t="shared" si="27"/>
        <v>273</v>
      </c>
      <c r="O25" s="171">
        <f>SUM(O22:O24)</f>
        <v>283</v>
      </c>
      <c r="P25" s="171">
        <f t="shared" si="27"/>
        <v>280</v>
      </c>
      <c r="Q25" s="148">
        <f t="shared" si="27"/>
        <v>283.9090737532398</v>
      </c>
      <c r="R25" s="189">
        <f t="shared" si="27"/>
        <v>1119.9090737532397</v>
      </c>
      <c r="S25" s="148">
        <f t="shared" si="27"/>
        <v>294.58000914469005</v>
      </c>
      <c r="T25" s="148">
        <f t="shared" si="27"/>
        <v>279.49542522899634</v>
      </c>
      <c r="U25" s="148">
        <f t="shared" si="27"/>
        <v>280.08527294038049</v>
      </c>
      <c r="V25" s="148">
        <f t="shared" si="27"/>
        <v>283.52056016007623</v>
      </c>
      <c r="W25" s="149">
        <f t="shared" si="27"/>
        <v>1137.6812674741432</v>
      </c>
    </row>
    <row r="26" spans="1:23" x14ac:dyDescent="0.25">
      <c r="B26" s="231" t="s">
        <v>18</v>
      </c>
      <c r="C26" s="232"/>
      <c r="D26" s="34">
        <f>D21-D25</f>
        <v>3108</v>
      </c>
      <c r="E26" s="34">
        <f t="shared" ref="E26:W26" si="28">E21-E25</f>
        <v>4214</v>
      </c>
      <c r="F26" s="34">
        <f t="shared" si="28"/>
        <v>3433</v>
      </c>
      <c r="G26" s="34">
        <f>G21-G25</f>
        <v>2943</v>
      </c>
      <c r="H26" s="35">
        <f t="shared" si="28"/>
        <v>13698</v>
      </c>
      <c r="I26" s="34">
        <f t="shared" si="28"/>
        <v>3142</v>
      </c>
      <c r="J26" s="34">
        <f t="shared" si="28"/>
        <v>4655</v>
      </c>
      <c r="K26" s="34">
        <f t="shared" si="28"/>
        <v>3646</v>
      </c>
      <c r="L26" s="34">
        <f>L21-L25</f>
        <v>3113</v>
      </c>
      <c r="M26" s="35">
        <f t="shared" si="28"/>
        <v>14556</v>
      </c>
      <c r="N26" s="170">
        <f>N21-N25</f>
        <v>3324</v>
      </c>
      <c r="O26" s="170">
        <f t="shared" si="28"/>
        <v>4613</v>
      </c>
      <c r="P26" s="170">
        <f t="shared" si="28"/>
        <v>3667</v>
      </c>
      <c r="Q26" s="34">
        <f t="shared" si="28"/>
        <v>3220.3398114548554</v>
      </c>
      <c r="R26" s="35">
        <f t="shared" si="28"/>
        <v>14824.339811454854</v>
      </c>
      <c r="S26" s="34">
        <f t="shared" si="28"/>
        <v>3420.4500759183466</v>
      </c>
      <c r="T26" s="34">
        <f t="shared" si="28"/>
        <v>4748.7998804442586</v>
      </c>
      <c r="U26" s="34">
        <f t="shared" si="28"/>
        <v>3786.7601020482771</v>
      </c>
      <c r="V26" s="34">
        <f t="shared" si="28"/>
        <v>3392.3045360570986</v>
      </c>
      <c r="W26" s="35">
        <f t="shared" si="28"/>
        <v>15348.31459446798</v>
      </c>
    </row>
    <row r="27" spans="1:23" ht="17.25" x14ac:dyDescent="0.4">
      <c r="B27" s="212" t="s">
        <v>7</v>
      </c>
      <c r="C27" s="213"/>
      <c r="D27" s="30">
        <v>1094</v>
      </c>
      <c r="E27" s="30">
        <v>1542</v>
      </c>
      <c r="F27" s="30">
        <v>1268</v>
      </c>
      <c r="G27" s="30">
        <v>1164</v>
      </c>
      <c r="H27" s="31">
        <f>SUM(D27:G27)</f>
        <v>5068</v>
      </c>
      <c r="I27" s="30">
        <v>738</v>
      </c>
      <c r="J27" s="30">
        <v>1149</v>
      </c>
      <c r="K27" s="30">
        <v>779</v>
      </c>
      <c r="L27" s="30">
        <v>769</v>
      </c>
      <c r="M27" s="31">
        <f>SUM(I27:L27)</f>
        <v>3435</v>
      </c>
      <c r="N27" s="169">
        <v>811</v>
      </c>
      <c r="O27" s="169">
        <v>1134</v>
      </c>
      <c r="P27" s="169">
        <v>898</v>
      </c>
      <c r="Q27" s="30">
        <f>Q26*Q58</f>
        <v>821.1866519209882</v>
      </c>
      <c r="R27" s="31">
        <f>SUM(N27:Q27)</f>
        <v>3664.186651920988</v>
      </c>
      <c r="S27" s="30">
        <f>S26*S58</f>
        <v>855.11251897958664</v>
      </c>
      <c r="T27" s="30">
        <f>T26*T58</f>
        <v>1187.1999701110647</v>
      </c>
      <c r="U27" s="30">
        <f>U26*U58</f>
        <v>946.69002551206927</v>
      </c>
      <c r="V27" s="30">
        <f>V26*V58</f>
        <v>848.07613401427466</v>
      </c>
      <c r="W27" s="31">
        <f>SUM(S27:V27)</f>
        <v>3837.0786486169955</v>
      </c>
    </row>
    <row r="28" spans="1:23" x14ac:dyDescent="0.25">
      <c r="A28" s="36"/>
      <c r="B28" s="218" t="s">
        <v>64</v>
      </c>
      <c r="C28" s="219"/>
      <c r="D28" s="34">
        <f t="shared" ref="D28:W28" si="29">+D26-D27</f>
        <v>2014</v>
      </c>
      <c r="E28" s="34">
        <f t="shared" si="29"/>
        <v>2672</v>
      </c>
      <c r="F28" s="34">
        <f t="shared" si="29"/>
        <v>2165</v>
      </c>
      <c r="G28" s="34">
        <f t="shared" si="29"/>
        <v>1779</v>
      </c>
      <c r="H28" s="35">
        <f t="shared" si="29"/>
        <v>8630</v>
      </c>
      <c r="I28" s="34">
        <f t="shared" si="29"/>
        <v>2404</v>
      </c>
      <c r="J28" s="34">
        <f t="shared" si="29"/>
        <v>3506</v>
      </c>
      <c r="K28" s="34">
        <f>+K26-K27</f>
        <v>2867</v>
      </c>
      <c r="L28" s="34">
        <f>+L26-L27</f>
        <v>2344</v>
      </c>
      <c r="M28" s="35">
        <f t="shared" si="29"/>
        <v>11121</v>
      </c>
      <c r="N28" s="170">
        <f>+N26-N27</f>
        <v>2513</v>
      </c>
      <c r="O28" s="170">
        <f t="shared" si="29"/>
        <v>3479</v>
      </c>
      <c r="P28" s="170">
        <f t="shared" si="29"/>
        <v>2769</v>
      </c>
      <c r="Q28" s="34">
        <f t="shared" si="29"/>
        <v>2399.1531595338674</v>
      </c>
      <c r="R28" s="35">
        <f t="shared" si="29"/>
        <v>11160.153159533867</v>
      </c>
      <c r="S28" s="34">
        <f t="shared" si="29"/>
        <v>2565.3375569387599</v>
      </c>
      <c r="T28" s="34">
        <f t="shared" si="29"/>
        <v>3561.5999103331942</v>
      </c>
      <c r="U28" s="34">
        <f t="shared" si="29"/>
        <v>2840.070076536208</v>
      </c>
      <c r="V28" s="34">
        <f t="shared" si="29"/>
        <v>2544.2284020428242</v>
      </c>
      <c r="W28" s="35">
        <f t="shared" si="29"/>
        <v>11511.235945850985</v>
      </c>
    </row>
    <row r="29" spans="1:23" x14ac:dyDescent="0.25">
      <c r="B29" s="212" t="s">
        <v>0</v>
      </c>
      <c r="C29" s="213"/>
      <c r="D29" s="26">
        <v>1198</v>
      </c>
      <c r="E29" s="26">
        <v>1183</v>
      </c>
      <c r="F29" s="26">
        <v>1168</v>
      </c>
      <c r="G29" s="26">
        <v>1160</v>
      </c>
      <c r="H29" s="27">
        <f>+(D28/H28*D29)+(E28/H28*E29)+(F28/H28*F29)+(G28/H28*G29)</f>
        <v>1177.9962920046351</v>
      </c>
      <c r="I29" s="26">
        <v>1152</v>
      </c>
      <c r="J29" s="26">
        <v>1144</v>
      </c>
      <c r="K29" s="26">
        <v>1135</v>
      </c>
      <c r="L29" s="26">
        <v>1116</v>
      </c>
      <c r="M29" s="27">
        <f>+(I28/M28*I29)+(J28/M28*J29)+(K28/M28*K29)+(L28/M28*L29)</f>
        <v>1137.5075083175975</v>
      </c>
      <c r="N29" s="168">
        <v>1101</v>
      </c>
      <c r="O29" s="168">
        <v>1095</v>
      </c>
      <c r="P29" s="168">
        <v>1089</v>
      </c>
      <c r="Q29" s="26">
        <f>P29*(1+Q62)-Q66</f>
        <v>1083.1341412002821</v>
      </c>
      <c r="R29" s="27">
        <f>+(N28/R28*N29)+(O28/R28*O29)+(P28/R28*P29)+(Q28/R28*Q29)</f>
        <v>1092.3115052991639</v>
      </c>
      <c r="S29" s="26">
        <f>Q29*(1+S62)-S66</f>
        <v>1078.6738128349368</v>
      </c>
      <c r="T29" s="26">
        <f>S29*(1+T62)-T66</f>
        <v>1075.5969965355787</v>
      </c>
      <c r="U29" s="26">
        <f>T29*(1+U62)-U66</f>
        <v>1072.276809189791</v>
      </c>
      <c r="V29" s="26">
        <f>U29*(1+V62)-V66</f>
        <v>1068.8919808174267</v>
      </c>
      <c r="W29" s="27">
        <f>+(S28/W28*S29)+(T28/W28*T29)+(U28/W28*U29)+(V28/W28*V29)</f>
        <v>1073.9815675899417</v>
      </c>
    </row>
    <row r="30" spans="1:23" ht="15.75" customHeight="1" x14ac:dyDescent="0.25">
      <c r="B30" s="212" t="s">
        <v>1</v>
      </c>
      <c r="C30" s="213"/>
      <c r="D30" s="26">
        <v>1204</v>
      </c>
      <c r="E30" s="26">
        <v>1189</v>
      </c>
      <c r="F30" s="26">
        <v>1174</v>
      </c>
      <c r="G30" s="26">
        <v>1167</v>
      </c>
      <c r="H30" s="27">
        <f>+(D28/H28*D30)+(E28/H28*E30)+(F28/H28*F30)+(G28/H28*G30)</f>
        <v>1184.2024333719583</v>
      </c>
      <c r="I30" s="26">
        <v>1158</v>
      </c>
      <c r="J30" s="26">
        <v>1149</v>
      </c>
      <c r="K30" s="26">
        <v>1141</v>
      </c>
      <c r="L30" s="26">
        <v>1121</v>
      </c>
      <c r="M30" s="27">
        <f>+(I28/M28*I30)+(J28/M28*J30)+(K28/M28*K30)+(L28/M28*L30)</f>
        <v>1142.9814764859275</v>
      </c>
      <c r="N30" s="168">
        <v>1106</v>
      </c>
      <c r="O30" s="168">
        <v>1099</v>
      </c>
      <c r="P30" s="168">
        <v>1094</v>
      </c>
      <c r="Q30" s="26">
        <f>P30*(1+Q63)-Q66</f>
        <v>1087.8944818708765</v>
      </c>
      <c r="R30" s="27">
        <f>+(N28/R28*N30)+(O28/R28*O30)+(P28/R28*P30)+(Q28/R28*Q30)</f>
        <v>1096.9482504782484</v>
      </c>
      <c r="S30" s="26">
        <f>Q30*(1+S63)-S66</f>
        <v>1083.3761718619853</v>
      </c>
      <c r="T30" s="26">
        <f>S30*(1+T63)-T66</f>
        <v>1080.2270453781384</v>
      </c>
      <c r="U30" s="26">
        <f>T30*(1+U63)-U66</f>
        <v>1077.0609728729094</v>
      </c>
      <c r="V30" s="26">
        <f>U30*(1+V63)-V66</f>
        <v>1073.6231657318156</v>
      </c>
      <c r="W30" s="27">
        <f>+(S28/W28*S30)+(T28/W28*T30)+(U28/W28*U30)+(V28/W28*V30)</f>
        <v>1078.6881078057647</v>
      </c>
    </row>
    <row r="31" spans="1:23" ht="15.75" customHeight="1" x14ac:dyDescent="0.25">
      <c r="B31" s="228" t="s">
        <v>8</v>
      </c>
      <c r="C31" s="229"/>
      <c r="D31" s="37">
        <f t="shared" ref="D31:W31" si="30">D28/D29</f>
        <v>1.681135225375626</v>
      </c>
      <c r="E31" s="37">
        <f t="shared" si="30"/>
        <v>2.2586644125105662</v>
      </c>
      <c r="F31" s="37">
        <f t="shared" si="30"/>
        <v>1.8535958904109588</v>
      </c>
      <c r="G31" s="37">
        <f t="shared" si="30"/>
        <v>1.5336206896551725</v>
      </c>
      <c r="H31" s="38">
        <f t="shared" si="30"/>
        <v>7.3259992909774319</v>
      </c>
      <c r="I31" s="37">
        <f t="shared" si="30"/>
        <v>2.0868055555555554</v>
      </c>
      <c r="J31" s="37">
        <f t="shared" si="30"/>
        <v>3.0646853146853146</v>
      </c>
      <c r="K31" s="37">
        <f t="shared" si="30"/>
        <v>2.5259911894273128</v>
      </c>
      <c r="L31" s="37">
        <f t="shared" si="30"/>
        <v>2.1003584229390682</v>
      </c>
      <c r="M31" s="38">
        <f t="shared" si="30"/>
        <v>9.7766387638603298</v>
      </c>
      <c r="N31" s="172">
        <f t="shared" si="30"/>
        <v>2.282470481380563</v>
      </c>
      <c r="O31" s="172">
        <f t="shared" si="30"/>
        <v>3.1771689497716893</v>
      </c>
      <c r="P31" s="172">
        <f t="shared" si="30"/>
        <v>2.5426997245179064</v>
      </c>
      <c r="Q31" s="37">
        <f t="shared" si="30"/>
        <v>2.2150101896661019</v>
      </c>
      <c r="R31" s="38">
        <f t="shared" si="30"/>
        <v>10.217005959739762</v>
      </c>
      <c r="S31" s="37">
        <f t="shared" si="30"/>
        <v>2.378232906384016</v>
      </c>
      <c r="T31" s="37">
        <f t="shared" si="30"/>
        <v>3.3112772923361202</v>
      </c>
      <c r="U31" s="37">
        <f t="shared" si="30"/>
        <v>2.6486351772189831</v>
      </c>
      <c r="V31" s="37">
        <f t="shared" si="30"/>
        <v>2.3802483765451639</v>
      </c>
      <c r="W31" s="38">
        <f t="shared" si="30"/>
        <v>10.71828073519238</v>
      </c>
    </row>
    <row r="32" spans="1:23" x14ac:dyDescent="0.25">
      <c r="B32" s="228" t="s">
        <v>9</v>
      </c>
      <c r="C32" s="229"/>
      <c r="D32" s="37">
        <f t="shared" ref="D32:W32" si="31">D28/D30</f>
        <v>1.6727574750830565</v>
      </c>
      <c r="E32" s="37">
        <f t="shared" si="31"/>
        <v>2.2472666105971406</v>
      </c>
      <c r="F32" s="37">
        <f t="shared" si="31"/>
        <v>1.84412265758092</v>
      </c>
      <c r="G32" s="37">
        <f t="shared" si="31"/>
        <v>1.5244215938303343</v>
      </c>
      <c r="H32" s="38">
        <f t="shared" si="31"/>
        <v>7.2876053593527068</v>
      </c>
      <c r="I32" s="37">
        <f t="shared" si="31"/>
        <v>2.075993091537133</v>
      </c>
      <c r="J32" s="37">
        <f t="shared" si="31"/>
        <v>3.0513489991296781</v>
      </c>
      <c r="K32" s="37">
        <f>K28/K30</f>
        <v>2.5127081507449605</v>
      </c>
      <c r="L32" s="37">
        <f>L28/L30</f>
        <v>2.0909901873327388</v>
      </c>
      <c r="M32" s="38">
        <f t="shared" si="31"/>
        <v>9.7298164745340241</v>
      </c>
      <c r="N32" s="172">
        <f>N28/N30</f>
        <v>2.2721518987341773</v>
      </c>
      <c r="O32" s="172">
        <f t="shared" si="31"/>
        <v>3.1656050955414012</v>
      </c>
      <c r="P32" s="172">
        <f t="shared" si="31"/>
        <v>2.5310786106032905</v>
      </c>
      <c r="Q32" s="172">
        <f t="shared" si="31"/>
        <v>2.2053178865361924</v>
      </c>
      <c r="R32" s="194">
        <f t="shared" si="31"/>
        <v>10.173819188524394</v>
      </c>
      <c r="S32" s="172">
        <f t="shared" si="31"/>
        <v>2.3679102638280716</v>
      </c>
      <c r="T32" s="172">
        <f t="shared" si="31"/>
        <v>3.2970845578916603</v>
      </c>
      <c r="U32" s="172">
        <f t="shared" si="31"/>
        <v>2.6368702868888829</v>
      </c>
      <c r="V32" s="172">
        <f t="shared" si="31"/>
        <v>2.3697592258160687</v>
      </c>
      <c r="W32" s="194">
        <f t="shared" si="31"/>
        <v>10.671514650575688</v>
      </c>
    </row>
    <row r="33" spans="1:25" x14ac:dyDescent="0.25">
      <c r="B33" s="165" t="s">
        <v>53</v>
      </c>
      <c r="C33" s="166"/>
      <c r="D33" s="56">
        <v>0.89</v>
      </c>
      <c r="E33" s="56">
        <v>0.89</v>
      </c>
      <c r="F33" s="56">
        <v>0.89</v>
      </c>
      <c r="G33" s="56">
        <v>1.03</v>
      </c>
      <c r="H33" s="109">
        <f>+SUM(D33:G33)</f>
        <v>3.7</v>
      </c>
      <c r="I33" s="56">
        <v>1.03</v>
      </c>
      <c r="J33" s="56">
        <v>1.03</v>
      </c>
      <c r="K33" s="56">
        <v>1.03</v>
      </c>
      <c r="L33" s="56">
        <v>1.36</v>
      </c>
      <c r="M33" s="109">
        <f>+SUM(I33:L33)</f>
        <v>4.45</v>
      </c>
      <c r="N33" s="173">
        <f>+L33</f>
        <v>1.36</v>
      </c>
      <c r="O33" s="173">
        <v>1.36</v>
      </c>
      <c r="P33" s="173">
        <v>1.36</v>
      </c>
      <c r="Q33" s="139">
        <f>1.2*P33</f>
        <v>1.6320000000000001</v>
      </c>
      <c r="R33" s="109">
        <f>+SUM(N33:Q33)</f>
        <v>5.7119999999999997</v>
      </c>
      <c r="S33" s="139">
        <f>+Q33</f>
        <v>1.6320000000000001</v>
      </c>
      <c r="T33" s="139">
        <f>+S33</f>
        <v>1.6320000000000001</v>
      </c>
      <c r="U33" s="139">
        <f>+T33</f>
        <v>1.6320000000000001</v>
      </c>
      <c r="V33" s="139">
        <f>1.2*U33</f>
        <v>1.9584000000000001</v>
      </c>
      <c r="W33" s="109">
        <f>+SUM(S33:V33)</f>
        <v>6.8544000000000009</v>
      </c>
    </row>
    <row r="34" spans="1:25" x14ac:dyDescent="0.25">
      <c r="B34" s="40"/>
      <c r="C34" s="43"/>
      <c r="D34" s="140"/>
      <c r="E34" s="43"/>
      <c r="F34" s="43"/>
      <c r="G34" s="137"/>
      <c r="H34" s="16"/>
      <c r="I34" s="138"/>
      <c r="J34" s="138"/>
      <c r="K34" s="137"/>
      <c r="L34" s="138"/>
      <c r="M34" s="3"/>
      <c r="N34" s="137"/>
      <c r="O34" s="137"/>
      <c r="P34" s="137"/>
      <c r="Q34" s="196"/>
      <c r="R34" s="195"/>
      <c r="S34" s="196"/>
      <c r="T34" s="196"/>
      <c r="U34" s="196"/>
      <c r="V34" s="196"/>
      <c r="W34" s="195"/>
    </row>
    <row r="35" spans="1:25" ht="15.75" x14ac:dyDescent="0.25">
      <c r="A35" s="176"/>
      <c r="B35" s="214" t="s">
        <v>36</v>
      </c>
      <c r="C35" s="215"/>
      <c r="D35" s="23" t="s">
        <v>69</v>
      </c>
      <c r="E35" s="23" t="s">
        <v>70</v>
      </c>
      <c r="F35" s="23" t="s">
        <v>71</v>
      </c>
      <c r="G35" s="23" t="s">
        <v>72</v>
      </c>
      <c r="H35" s="66" t="s">
        <v>72</v>
      </c>
      <c r="I35" s="23" t="s">
        <v>68</v>
      </c>
      <c r="J35" s="23" t="s">
        <v>67</v>
      </c>
      <c r="K35" s="23" t="s">
        <v>66</v>
      </c>
      <c r="L35" s="23" t="s">
        <v>65</v>
      </c>
      <c r="M35" s="66" t="s">
        <v>65</v>
      </c>
      <c r="N35" s="23" t="s">
        <v>73</v>
      </c>
      <c r="O35" s="23" t="s">
        <v>74</v>
      </c>
      <c r="P35" s="23" t="s">
        <v>75</v>
      </c>
      <c r="Q35" s="25" t="s">
        <v>76</v>
      </c>
      <c r="R35" s="68" t="s">
        <v>76</v>
      </c>
      <c r="S35" s="25" t="s">
        <v>77</v>
      </c>
      <c r="T35" s="25" t="s">
        <v>78</v>
      </c>
      <c r="U35" s="25" t="s">
        <v>79</v>
      </c>
      <c r="V35" s="25" t="s">
        <v>80</v>
      </c>
      <c r="W35" s="68" t="s">
        <v>80</v>
      </c>
    </row>
    <row r="36" spans="1:25" ht="17.25" x14ac:dyDescent="0.4">
      <c r="A36" s="176"/>
      <c r="B36" s="226"/>
      <c r="C36" s="227"/>
      <c r="D36" s="24" t="s">
        <v>39</v>
      </c>
      <c r="E36" s="24" t="s">
        <v>40</v>
      </c>
      <c r="F36" s="24" t="s">
        <v>41</v>
      </c>
      <c r="G36" s="24" t="s">
        <v>42</v>
      </c>
      <c r="H36" s="67" t="s">
        <v>43</v>
      </c>
      <c r="I36" s="24" t="s">
        <v>44</v>
      </c>
      <c r="J36" s="24" t="s">
        <v>45</v>
      </c>
      <c r="K36" s="24" t="s">
        <v>46</v>
      </c>
      <c r="L36" s="24" t="s">
        <v>47</v>
      </c>
      <c r="M36" s="67" t="s">
        <v>48</v>
      </c>
      <c r="N36" s="24" t="s">
        <v>49</v>
      </c>
      <c r="O36" s="24" t="s">
        <v>104</v>
      </c>
      <c r="P36" s="24" t="s">
        <v>105</v>
      </c>
      <c r="Q36" s="22" t="s">
        <v>97</v>
      </c>
      <c r="R36" s="69" t="s">
        <v>98</v>
      </c>
      <c r="S36" s="22" t="s">
        <v>99</v>
      </c>
      <c r="T36" s="22" t="s">
        <v>100</v>
      </c>
      <c r="U36" s="22" t="s">
        <v>101</v>
      </c>
      <c r="V36" s="22" t="s">
        <v>102</v>
      </c>
      <c r="W36" s="69" t="s">
        <v>103</v>
      </c>
    </row>
    <row r="37" spans="1:25" s="20" customFormat="1" outlineLevel="1" x14ac:dyDescent="0.25">
      <c r="A37" s="178"/>
      <c r="B37" s="235" t="s">
        <v>81</v>
      </c>
      <c r="C37" s="236"/>
      <c r="D37" s="34">
        <v>2281</v>
      </c>
      <c r="E37" s="34">
        <v>2282</v>
      </c>
      <c r="F37" s="34">
        <v>2283</v>
      </c>
      <c r="G37" s="34">
        <v>2284</v>
      </c>
      <c r="H37" s="152"/>
      <c r="I37" s="34">
        <v>2285</v>
      </c>
      <c r="J37" s="34">
        <v>2286</v>
      </c>
      <c r="K37" s="34">
        <v>2286</v>
      </c>
      <c r="L37" s="34">
        <v>2287</v>
      </c>
      <c r="M37" s="152">
        <f>L37</f>
        <v>2287</v>
      </c>
      <c r="N37" s="34">
        <v>2289</v>
      </c>
      <c r="O37" s="34">
        <v>2291</v>
      </c>
      <c r="P37" s="34">
        <f t="shared" ref="P37:Q37" si="32">+O37+P38</f>
        <v>2290</v>
      </c>
      <c r="Q37" s="34">
        <f t="shared" si="32"/>
        <v>2292</v>
      </c>
      <c r="R37" s="152">
        <f>Q37</f>
        <v>2292</v>
      </c>
      <c r="S37" s="34">
        <f>+Q37+S38</f>
        <v>2293</v>
      </c>
      <c r="T37" s="34">
        <f>+S37+T38</f>
        <v>2294</v>
      </c>
      <c r="U37" s="34">
        <f t="shared" ref="U37" si="33">+T37+U38</f>
        <v>2295</v>
      </c>
      <c r="V37" s="34">
        <f t="shared" ref="V37" si="34">+U37+V38</f>
        <v>2296</v>
      </c>
      <c r="W37" s="152">
        <f>V37</f>
        <v>2296</v>
      </c>
    </row>
    <row r="38" spans="1:25" outlineLevel="1" x14ac:dyDescent="0.25">
      <c r="A38" s="176"/>
      <c r="B38" s="41" t="s">
        <v>88</v>
      </c>
      <c r="C38" s="59"/>
      <c r="D38" s="26">
        <f>D37-2278</f>
        <v>3</v>
      </c>
      <c r="E38" s="26">
        <f>+E37-D37</f>
        <v>1</v>
      </c>
      <c r="F38" s="26">
        <f t="shared" ref="F38" si="35">+F37-E37</f>
        <v>1</v>
      </c>
      <c r="G38" s="26">
        <f>+G37-F37</f>
        <v>1</v>
      </c>
      <c r="H38" s="42">
        <f>SUM(D38:G38)</f>
        <v>6</v>
      </c>
      <c r="I38" s="26">
        <f>+I37-G37</f>
        <v>1</v>
      </c>
      <c r="J38" s="26">
        <f>+J37-I37</f>
        <v>1</v>
      </c>
      <c r="K38" s="26">
        <f t="shared" ref="K38" si="36">+K37-J37</f>
        <v>0</v>
      </c>
      <c r="L38" s="26">
        <f>+L37-K37</f>
        <v>1</v>
      </c>
      <c r="M38" s="42">
        <f>SUM(I38:L38)</f>
        <v>3</v>
      </c>
      <c r="N38" s="26">
        <f>+N37-L37</f>
        <v>2</v>
      </c>
      <c r="O38" s="26">
        <f>+O37-N37</f>
        <v>2</v>
      </c>
      <c r="P38" s="168">
        <v>-1</v>
      </c>
      <c r="Q38" s="49">
        <v>2</v>
      </c>
      <c r="R38" s="190">
        <f>SUM(N38:Q38)</f>
        <v>5</v>
      </c>
      <c r="S38" s="49">
        <v>1</v>
      </c>
      <c r="T38" s="49">
        <v>1</v>
      </c>
      <c r="U38" s="49">
        <v>1</v>
      </c>
      <c r="V38" s="49">
        <v>1</v>
      </c>
      <c r="W38" s="42">
        <f>SUM(S38:V38)</f>
        <v>4</v>
      </c>
    </row>
    <row r="39" spans="1:25" s="121" customFormat="1" outlineLevel="1" x14ac:dyDescent="0.25">
      <c r="A39" s="181"/>
      <c r="B39" s="122" t="s">
        <v>54</v>
      </c>
      <c r="C39" s="123"/>
      <c r="D39" s="125">
        <v>2278</v>
      </c>
      <c r="E39" s="125">
        <v>2278</v>
      </c>
      <c r="F39" s="125">
        <v>2278</v>
      </c>
      <c r="G39" s="125">
        <v>2278</v>
      </c>
      <c r="H39" s="126">
        <f>AVERAGE(D39:G39)</f>
        <v>2278</v>
      </c>
      <c r="I39" s="125">
        <f>D37</f>
        <v>2281</v>
      </c>
      <c r="J39" s="125">
        <f>E37</f>
        <v>2282</v>
      </c>
      <c r="K39" s="125">
        <f>F37</f>
        <v>2283</v>
      </c>
      <c r="L39" s="125">
        <f>G37</f>
        <v>2284</v>
      </c>
      <c r="M39" s="126">
        <f>AVERAGE(I39:L39)</f>
        <v>2282.5</v>
      </c>
      <c r="N39" s="125">
        <f>I37</f>
        <v>2285</v>
      </c>
      <c r="O39" s="125">
        <f>J37</f>
        <v>2286</v>
      </c>
      <c r="P39" s="125">
        <f t="shared" ref="P39" si="37">K37</f>
        <v>2286</v>
      </c>
      <c r="Q39" s="125">
        <f>L37</f>
        <v>2287</v>
      </c>
      <c r="R39" s="126">
        <f>AVERAGE(N39:Q39)</f>
        <v>2286</v>
      </c>
      <c r="S39" s="125">
        <f>N37</f>
        <v>2289</v>
      </c>
      <c r="T39" s="125">
        <f t="shared" ref="T39" si="38">O37</f>
        <v>2291</v>
      </c>
      <c r="U39" s="125">
        <f t="shared" ref="U39" si="39">P37</f>
        <v>2290</v>
      </c>
      <c r="V39" s="125">
        <f>Q37</f>
        <v>2292</v>
      </c>
      <c r="W39" s="126">
        <f>AVERAGE(S39:V39)</f>
        <v>2290.5</v>
      </c>
    </row>
    <row r="40" spans="1:25" s="121" customFormat="1" outlineLevel="1" x14ac:dyDescent="0.25">
      <c r="A40" s="181"/>
      <c r="B40" s="122" t="s">
        <v>55</v>
      </c>
      <c r="C40" s="123"/>
      <c r="D40" s="162">
        <v>10.477565438414539</v>
      </c>
      <c r="E40" s="162">
        <v>12.338945366188232</v>
      </c>
      <c r="F40" s="162">
        <v>10.978759745425613</v>
      </c>
      <c r="G40" s="162">
        <v>10.502805820781584</v>
      </c>
      <c r="H40" s="130">
        <f>SUM(D40:G40)</f>
        <v>44.298076370809966</v>
      </c>
      <c r="I40" s="162">
        <v>11.243870807581272</v>
      </c>
      <c r="J40" s="162">
        <v>13.068968794428521</v>
      </c>
      <c r="K40" s="162">
        <v>11.474538198287984</v>
      </c>
      <c r="L40" s="162">
        <v>10.773426965048801</v>
      </c>
      <c r="M40" s="130">
        <f>SUM(I40:L40)</f>
        <v>46.560804765346575</v>
      </c>
      <c r="N40" s="162">
        <f>I40*(1+N46)</f>
        <v>11.524967577770804</v>
      </c>
      <c r="O40" s="162">
        <f>J40*(1+O46)</f>
        <v>13.461037858261378</v>
      </c>
      <c r="P40" s="162">
        <f>K40*(1+P46)</f>
        <v>11.887621573426353</v>
      </c>
      <c r="Q40" s="162">
        <f>L40*(1+Q46)</f>
        <v>11.322871740266288</v>
      </c>
      <c r="R40" s="130">
        <f>SUM(N40:Q40)</f>
        <v>48.196498749724817</v>
      </c>
      <c r="S40" s="162">
        <f>N40*(1+S46)</f>
        <v>12.040629095674969</v>
      </c>
      <c r="T40" s="162">
        <f>O40*(1+T46)</f>
        <v>13.976990859651611</v>
      </c>
      <c r="U40" s="162">
        <f>P40*(1+U46)</f>
        <v>12.307722158052268</v>
      </c>
      <c r="V40" s="162">
        <f>Q40*(1+V46)</f>
        <v>11.726282105893326</v>
      </c>
      <c r="W40" s="130">
        <f>SUM(S40:V40)</f>
        <v>50.051624219272178</v>
      </c>
    </row>
    <row r="41" spans="1:25" ht="17.25" outlineLevel="1" x14ac:dyDescent="0.4">
      <c r="A41" s="176"/>
      <c r="B41" s="164" t="s">
        <v>89</v>
      </c>
      <c r="C41" s="117"/>
      <c r="D41" s="48">
        <f>+(D37-D39)*D44-12</f>
        <v>19.416483998246381</v>
      </c>
      <c r="E41" s="48">
        <f>+(E37-E39)*E44-49</f>
        <v>0.26906222611744113</v>
      </c>
      <c r="F41" s="48">
        <f>+(F37-F39)*F44-38</f>
        <v>16.809461235216823</v>
      </c>
      <c r="G41" s="48">
        <f>+(G37-G39)*G44-105</f>
        <v>-42.260070052539405</v>
      </c>
      <c r="H41" s="163">
        <f>SUM(D41:G41)</f>
        <v>-5.7650625929587562</v>
      </c>
      <c r="I41" s="48">
        <f>+(I37-I39)*I44-744</f>
        <v>-700.3291028446389</v>
      </c>
      <c r="J41" s="48">
        <v>640</v>
      </c>
      <c r="K41" s="48">
        <f>250-144</f>
        <v>106</v>
      </c>
      <c r="L41" s="48">
        <f>+(L37-L39)*L44+1700+150</f>
        <v>1884.7498906864889</v>
      </c>
      <c r="M41" s="163">
        <f>SUM(I41:L41)</f>
        <v>1930.4207878418501</v>
      </c>
      <c r="N41" s="48">
        <f>+(N37-N39)*N44</f>
        <v>46.100480559196157</v>
      </c>
      <c r="O41" s="48">
        <f>+(O37-O39)*O44</f>
        <v>67.304670449585331</v>
      </c>
      <c r="P41" s="48">
        <f>+(P37-P39)*P44</f>
        <v>47.55109170305677</v>
      </c>
      <c r="Q41" s="48">
        <v>50</v>
      </c>
      <c r="R41" s="163">
        <f>SUM(N41:Q41)</f>
        <v>210.95624271183826</v>
      </c>
      <c r="S41" s="48">
        <v>50</v>
      </c>
      <c r="T41" s="48">
        <f>AVERAGE(S41,Q41,P41,O41)</f>
        <v>53.713940538160529</v>
      </c>
      <c r="U41" s="48">
        <f>AVERAGE(T41,S41,Q41,P41)</f>
        <v>50.316258060304321</v>
      </c>
      <c r="V41" s="48">
        <f>AVERAGE(U41,T41,S41,Q41)</f>
        <v>51.007549649616209</v>
      </c>
      <c r="W41" s="163">
        <f>SUM(S41:V41)</f>
        <v>205.03774824808104</v>
      </c>
    </row>
    <row r="42" spans="1:25" s="20" customFormat="1" outlineLevel="1" x14ac:dyDescent="0.25">
      <c r="A42" s="178"/>
      <c r="B42" s="237" t="s">
        <v>90</v>
      </c>
      <c r="C42" s="238"/>
      <c r="D42" s="34">
        <f t="shared" ref="D42:M42" si="40">+D14</f>
        <v>23887</v>
      </c>
      <c r="E42" s="34">
        <f t="shared" si="40"/>
        <v>28108</v>
      </c>
      <c r="F42" s="34">
        <f t="shared" si="40"/>
        <v>25026</v>
      </c>
      <c r="G42" s="34">
        <f t="shared" si="40"/>
        <v>23883</v>
      </c>
      <c r="H42" s="152">
        <f t="shared" si="40"/>
        <v>100904</v>
      </c>
      <c r="I42" s="34">
        <f t="shared" si="40"/>
        <v>24947</v>
      </c>
      <c r="J42" s="34">
        <f t="shared" si="40"/>
        <v>30463</v>
      </c>
      <c r="K42" s="34">
        <f t="shared" si="40"/>
        <v>26302</v>
      </c>
      <c r="L42" s="34">
        <f>+L14</f>
        <v>26491</v>
      </c>
      <c r="M42" s="152">
        <f t="shared" si="40"/>
        <v>108203</v>
      </c>
      <c r="N42" s="34">
        <f>+N14</f>
        <v>26381</v>
      </c>
      <c r="O42" s="34">
        <f>+O14</f>
        <v>30839</v>
      </c>
      <c r="P42" s="34">
        <f>+P14</f>
        <v>27223</v>
      </c>
      <c r="Q42" s="34">
        <f>+Q39*Q40+Q41</f>
        <v>25945.407669989003</v>
      </c>
      <c r="R42" s="201">
        <f>+R14</f>
        <v>110388.407669989</v>
      </c>
      <c r="S42" s="34">
        <f>+S39*S40+S41</f>
        <v>27611.000000000004</v>
      </c>
      <c r="T42" s="34">
        <f>+T39*T40+T41</f>
        <v>32075</v>
      </c>
      <c r="U42" s="34">
        <f>+U39*U40+U41</f>
        <v>28235</v>
      </c>
      <c r="V42" s="34">
        <f>+V39*V40+V41</f>
        <v>26927.646136357118</v>
      </c>
      <c r="W42" s="201">
        <f>+W14</f>
        <v>114848.64613635711</v>
      </c>
    </row>
    <row r="43" spans="1:25" s="20" customFormat="1" outlineLevel="1" x14ac:dyDescent="0.25">
      <c r="A43" s="178"/>
      <c r="B43" s="143" t="s">
        <v>92</v>
      </c>
      <c r="C43" s="144"/>
      <c r="D43" s="34"/>
      <c r="E43" s="34"/>
      <c r="F43" s="34"/>
      <c r="G43" s="34"/>
      <c r="H43" s="152"/>
      <c r="I43" s="134">
        <f>+I42/D42-1</f>
        <v>4.4375601791769581E-2</v>
      </c>
      <c r="J43" s="134">
        <f t="shared" ref="J43:R43" si="41">+J42/E42-1</f>
        <v>8.3783976092215662E-2</v>
      </c>
      <c r="K43" s="134">
        <f t="shared" si="41"/>
        <v>5.0986973547510583E-2</v>
      </c>
      <c r="L43" s="134">
        <f t="shared" si="41"/>
        <v>0.10919901184943259</v>
      </c>
      <c r="M43" s="147">
        <f t="shared" si="41"/>
        <v>7.2336081820344011E-2</v>
      </c>
      <c r="N43" s="134">
        <f t="shared" si="41"/>
        <v>5.7481861546478497E-2</v>
      </c>
      <c r="O43" s="134">
        <f t="shared" si="41"/>
        <v>1.2342842136362053E-2</v>
      </c>
      <c r="P43" s="134">
        <f t="shared" si="41"/>
        <v>3.5016348566648814E-2</v>
      </c>
      <c r="Q43" s="134">
        <f t="shared" si="41"/>
        <v>-2.0595384470612599E-2</v>
      </c>
      <c r="R43" s="202">
        <f t="shared" si="41"/>
        <v>2.019729277366622E-2</v>
      </c>
      <c r="S43" s="134">
        <f t="shared" ref="S43" si="42">+S42/N42-1</f>
        <v>4.6624464576778823E-2</v>
      </c>
      <c r="T43" s="134">
        <f t="shared" ref="T43" si="43">+T42/O42-1</f>
        <v>4.0079120594052942E-2</v>
      </c>
      <c r="U43" s="134">
        <f t="shared" ref="U43" si="44">+U42/P42-1</f>
        <v>3.7174448076993771E-2</v>
      </c>
      <c r="V43" s="134">
        <f t="shared" ref="V43" si="45">+V42/Q42-1</f>
        <v>3.7857892959772821E-2</v>
      </c>
      <c r="W43" s="209">
        <f t="shared" ref="W43" si="46">+W42/R42-1</f>
        <v>4.0404953386973252E-2</v>
      </c>
    </row>
    <row r="44" spans="1:25" s="20" customFormat="1" outlineLevel="1" x14ac:dyDescent="0.25">
      <c r="A44" s="178"/>
      <c r="B44" s="127" t="s">
        <v>91</v>
      </c>
      <c r="C44" s="61"/>
      <c r="D44" s="129">
        <f>+D42/D37</f>
        <v>10.472161332748794</v>
      </c>
      <c r="E44" s="129">
        <f>+E42/E37</f>
        <v>12.31726555652936</v>
      </c>
      <c r="F44" s="129">
        <f>+F42/F37</f>
        <v>10.961892247043364</v>
      </c>
      <c r="G44" s="129">
        <f>+G42/G37</f>
        <v>10.456654991243433</v>
      </c>
      <c r="H44" s="130"/>
      <c r="I44" s="129">
        <f>+I42/I37</f>
        <v>10.917724288840263</v>
      </c>
      <c r="J44" s="129">
        <f>+J42/J37</f>
        <v>13.325896762904637</v>
      </c>
      <c r="K44" s="129">
        <f>+K42/K37</f>
        <v>11.505686789151357</v>
      </c>
      <c r="L44" s="129">
        <f>+L42/L37</f>
        <v>11.583296895496284</v>
      </c>
      <c r="M44" s="132"/>
      <c r="N44" s="131">
        <f>+N42/N37</f>
        <v>11.525120139799039</v>
      </c>
      <c r="O44" s="131">
        <f>+O42/O37</f>
        <v>13.460934089917068</v>
      </c>
      <c r="P44" s="131">
        <f>+P42/P37</f>
        <v>11.887772925764192</v>
      </c>
      <c r="Q44" s="131">
        <f>+Q42/Q37</f>
        <v>11.319985894410559</v>
      </c>
      <c r="R44" s="203"/>
      <c r="S44" s="131">
        <f>+S42/S37</f>
        <v>12.041430440471</v>
      </c>
      <c r="T44" s="131">
        <f>+T42/T37</f>
        <v>13.982127288578901</v>
      </c>
      <c r="U44" s="131">
        <f>+U42/U37</f>
        <v>12.302832244008714</v>
      </c>
      <c r="V44" s="131">
        <f>+V42/V37</f>
        <v>11.72806887472</v>
      </c>
      <c r="W44" s="203"/>
    </row>
    <row r="45" spans="1:25" s="121" customFormat="1" outlineLevel="1" x14ac:dyDescent="0.25">
      <c r="A45" s="181"/>
      <c r="B45" s="127" t="s">
        <v>56</v>
      </c>
      <c r="C45" s="128"/>
      <c r="D45" s="124">
        <f>ROUND((+D42-D41-(D39*D40)),0)</f>
        <v>0</v>
      </c>
      <c r="E45" s="124">
        <f>ROUND((+E42-E41-(E39*E40)),0)</f>
        <v>0</v>
      </c>
      <c r="F45" s="124">
        <f>ROUND((+F42-F41-(F39*F40)),0)</f>
        <v>0</v>
      </c>
      <c r="G45" s="124">
        <f>ROUND((+G42-G41-(G39*G40)),0)</f>
        <v>0</v>
      </c>
      <c r="H45" s="126"/>
      <c r="I45" s="124">
        <f>ROUND((+I42-I41-(I39*I40)),0)</f>
        <v>0</v>
      </c>
      <c r="J45" s="124">
        <f>ROUND((+J42-J41-(J39*J40)),0)</f>
        <v>0</v>
      </c>
      <c r="K45" s="124">
        <f>ROUND((+K42-K41-(K39*K40)),0)</f>
        <v>0</v>
      </c>
      <c r="L45" s="124">
        <f>ROUND((+L42-L41-(L39*L40)),0)</f>
        <v>0</v>
      </c>
      <c r="M45" s="126"/>
      <c r="N45" s="124">
        <f>ROUND((+N42-N41-(N39*N40)),0)</f>
        <v>0</v>
      </c>
      <c r="O45" s="129">
        <f>ROUND((+O42-O41-(O39*O40)),0)</f>
        <v>0</v>
      </c>
      <c r="P45" s="129">
        <f>ROUND((+P42-P41-(P39*P40)),0)</f>
        <v>0</v>
      </c>
      <c r="Q45" s="129">
        <f>ROUND((+Q42-Q41-(Q39*Q40)),0)</f>
        <v>0</v>
      </c>
      <c r="R45" s="204"/>
      <c r="S45" s="124">
        <f>ROUND((+S42-S41-(S39*S40)),0)</f>
        <v>0</v>
      </c>
      <c r="T45" s="129">
        <f>ROUND((+T42-T41-(T39*T40)),0)</f>
        <v>0</v>
      </c>
      <c r="U45" s="129">
        <f>ROUND((+U42-U41-(U39*U40)),0)</f>
        <v>0</v>
      </c>
      <c r="V45" s="129">
        <f>ROUND((+V42-V41-(V39*V40)),0)</f>
        <v>0</v>
      </c>
      <c r="W45" s="204"/>
    </row>
    <row r="46" spans="1:25" s="20" customFormat="1" outlineLevel="1" x14ac:dyDescent="0.25">
      <c r="A46" s="178"/>
      <c r="B46" s="153" t="s">
        <v>83</v>
      </c>
      <c r="C46" s="145"/>
      <c r="D46" s="154">
        <v>5.5E-2</v>
      </c>
      <c r="E46" s="154">
        <v>6.3E-2</v>
      </c>
      <c r="F46" s="154">
        <v>7.9000000000000001E-2</v>
      </c>
      <c r="G46" s="154">
        <v>7.4999999999999997E-2</v>
      </c>
      <c r="H46" s="155">
        <v>6.8000000000000005E-2</v>
      </c>
      <c r="I46" s="154">
        <v>4.2000000000000003E-2</v>
      </c>
      <c r="J46" s="154">
        <v>0.08</v>
      </c>
      <c r="K46" s="154">
        <v>4.8000000000000001E-2</v>
      </c>
      <c r="L46" s="154">
        <v>3.2000000000000001E-2</v>
      </c>
      <c r="M46" s="179">
        <f>+M40/H40-1</f>
        <v>5.1079608414500433E-2</v>
      </c>
      <c r="N46" s="180">
        <v>2.5000000000000001E-2</v>
      </c>
      <c r="O46" s="180">
        <v>0.03</v>
      </c>
      <c r="P46" s="180">
        <v>3.5999999999999997E-2</v>
      </c>
      <c r="Q46" s="156">
        <v>5.0999999999999997E-2</v>
      </c>
      <c r="R46" s="179">
        <f>+R40/M40-1</f>
        <v>3.5130277335662097E-2</v>
      </c>
      <c r="S46" s="156">
        <v>4.474299076543746E-2</v>
      </c>
      <c r="T46" s="156">
        <v>3.8329362625897388E-2</v>
      </c>
      <c r="U46" s="156">
        <v>3.5339330246263082E-2</v>
      </c>
      <c r="V46" s="156">
        <v>3.5627919743401536E-2</v>
      </c>
      <c r="W46" s="179">
        <f>+W40/R40-1</f>
        <v>3.8490876260133922E-2</v>
      </c>
    </row>
    <row r="47" spans="1:25" s="20" customFormat="1" outlineLevel="1" x14ac:dyDescent="0.25">
      <c r="A47" s="178"/>
      <c r="B47" s="41" t="s">
        <v>86</v>
      </c>
      <c r="C47" s="142"/>
      <c r="D47" s="177">
        <v>380.8</v>
      </c>
      <c r="E47" s="177">
        <v>441.8</v>
      </c>
      <c r="F47" s="177">
        <v>389.5</v>
      </c>
      <c r="G47" s="177">
        <v>366.5</v>
      </c>
      <c r="H47" s="47">
        <v>1578.6</v>
      </c>
      <c r="I47" s="177">
        <v>375.9</v>
      </c>
      <c r="J47" s="177">
        <v>455.4</v>
      </c>
      <c r="K47" s="177">
        <v>394.8</v>
      </c>
      <c r="L47" s="177">
        <v>394.8</v>
      </c>
      <c r="M47" s="47">
        <v>1620.8</v>
      </c>
      <c r="N47" s="177">
        <v>390</v>
      </c>
      <c r="O47" s="39">
        <v>455.5</v>
      </c>
      <c r="P47" s="39">
        <v>400.9</v>
      </c>
      <c r="Q47" s="37"/>
      <c r="R47" s="205"/>
      <c r="S47" s="37"/>
      <c r="T47" s="37"/>
      <c r="U47" s="37"/>
      <c r="V47" s="37"/>
      <c r="W47" s="205"/>
      <c r="X47" s="151"/>
      <c r="Y47" s="151"/>
    </row>
    <row r="48" spans="1:25" s="20" customFormat="1" outlineLevel="1" x14ac:dyDescent="0.25">
      <c r="A48" s="178"/>
      <c r="B48" s="64" t="s">
        <v>84</v>
      </c>
      <c r="C48" s="142"/>
      <c r="D48" s="44">
        <v>1.4999999999999999E-2</v>
      </c>
      <c r="E48" s="44">
        <v>2.5999999999999999E-2</v>
      </c>
      <c r="F48" s="44">
        <v>2.7E-2</v>
      </c>
      <c r="G48" s="44"/>
      <c r="H48" s="65">
        <v>2.1999999999999999E-2</v>
      </c>
      <c r="I48" s="44">
        <v>-1.4999999999999999E-2</v>
      </c>
      <c r="J48" s="44">
        <v>2.9000000000000001E-2</v>
      </c>
      <c r="K48" s="44">
        <v>1.2E-2</v>
      </c>
      <c r="L48" s="44"/>
      <c r="M48" s="47"/>
      <c r="N48" s="44">
        <f>N47/I47-1</f>
        <v>3.7509976057462202E-2</v>
      </c>
      <c r="O48" s="44">
        <f>O47/J47-1</f>
        <v>2.1958717610903733E-4</v>
      </c>
      <c r="P48" s="44">
        <f>P47/K47-1</f>
        <v>1.5450861195541954E-2</v>
      </c>
      <c r="Q48" s="34"/>
      <c r="R48" s="206"/>
      <c r="S48" s="34"/>
      <c r="T48" s="34"/>
      <c r="U48" s="34"/>
      <c r="V48" s="34"/>
      <c r="W48" s="206"/>
    </row>
    <row r="49" spans="1:23" s="20" customFormat="1" outlineLevel="1" x14ac:dyDescent="0.25">
      <c r="A49" s="178"/>
      <c r="B49" s="41" t="s">
        <v>87</v>
      </c>
      <c r="C49" s="142"/>
      <c r="D49" s="39">
        <v>62.39</v>
      </c>
      <c r="E49" s="39">
        <v>63.05</v>
      </c>
      <c r="F49" s="39">
        <v>62.84</v>
      </c>
      <c r="G49" s="39">
        <v>64</v>
      </c>
      <c r="H49" s="141">
        <v>63.06</v>
      </c>
      <c r="I49" s="39">
        <v>66.02</v>
      </c>
      <c r="J49" s="39">
        <v>66.2</v>
      </c>
      <c r="K49" s="39">
        <v>65.11</v>
      </c>
      <c r="L49" s="39">
        <v>65.59</v>
      </c>
      <c r="M49" s="141">
        <v>65.739999999999995</v>
      </c>
      <c r="N49" s="39">
        <v>67.31</v>
      </c>
      <c r="O49" s="39">
        <v>67.31</v>
      </c>
      <c r="P49" s="39">
        <v>66.36</v>
      </c>
      <c r="Q49" s="37"/>
      <c r="R49" s="205"/>
      <c r="S49" s="37"/>
      <c r="T49" s="37"/>
      <c r="U49" s="37"/>
      <c r="V49" s="37"/>
      <c r="W49" s="150"/>
    </row>
    <row r="50" spans="1:23" s="20" customFormat="1" outlineLevel="1" x14ac:dyDescent="0.25">
      <c r="A50" s="178"/>
      <c r="B50" s="64" t="s">
        <v>85</v>
      </c>
      <c r="C50" s="142"/>
      <c r="D50" s="44">
        <v>3.9E-2</v>
      </c>
      <c r="E50" s="44">
        <v>3.5999999999999997E-2</v>
      </c>
      <c r="F50" s="44">
        <v>5.0999999999999997E-2</v>
      </c>
      <c r="G50" s="44"/>
      <c r="H50" s="65">
        <v>4.4999999999999998E-2</v>
      </c>
      <c r="I50" s="44">
        <v>5.8000000000000003E-2</v>
      </c>
      <c r="J50" s="44">
        <v>4.9000000000000002E-2</v>
      </c>
      <c r="K50" s="44">
        <v>3.5000000000000003E-2</v>
      </c>
      <c r="L50" s="44"/>
      <c r="M50" s="47"/>
      <c r="N50" s="44">
        <f>N49/I49-1</f>
        <v>1.9539533474704829E-2</v>
      </c>
      <c r="O50" s="44">
        <f>O49/J49-1</f>
        <v>1.6767371601208447E-2</v>
      </c>
      <c r="P50" s="44">
        <f>P49/K49-1</f>
        <v>1.9198279834126808E-2</v>
      </c>
      <c r="Q50" s="34"/>
      <c r="R50" s="206"/>
      <c r="S50" s="34"/>
      <c r="T50" s="34"/>
      <c r="U50" s="185"/>
      <c r="V50" s="34"/>
      <c r="W50" s="120"/>
    </row>
    <row r="51" spans="1:23" s="20" customFormat="1" outlineLevel="1" x14ac:dyDescent="0.25">
      <c r="A51" s="178"/>
      <c r="B51" s="157" t="s">
        <v>82</v>
      </c>
      <c r="C51" s="158"/>
      <c r="D51" s="159">
        <v>394.17</v>
      </c>
      <c r="E51" s="159">
        <v>464.38</v>
      </c>
      <c r="F51" s="159">
        <v>412.49</v>
      </c>
      <c r="G51" s="159">
        <v>394.87</v>
      </c>
      <c r="H51" s="160">
        <v>417.02</v>
      </c>
      <c r="I51" s="159">
        <v>412.03</v>
      </c>
      <c r="J51" s="159">
        <v>504.2</v>
      </c>
      <c r="K51" s="159">
        <v>433.99</v>
      </c>
      <c r="L51" s="159">
        <v>414.17</v>
      </c>
      <c r="M51" s="160">
        <v>446.86</v>
      </c>
      <c r="N51" s="159">
        <v>435.18</v>
      </c>
      <c r="O51" s="187">
        <v>509.55</v>
      </c>
      <c r="P51" s="187">
        <v>449.17</v>
      </c>
      <c r="Q51" s="133"/>
      <c r="R51" s="207"/>
      <c r="S51" s="133"/>
      <c r="T51" s="133"/>
      <c r="U51" s="133"/>
      <c r="V51" s="133"/>
      <c r="W51" s="161"/>
    </row>
    <row r="52" spans="1:23" ht="18" x14ac:dyDescent="0.4">
      <c r="A52" s="176"/>
      <c r="B52" s="214" t="s">
        <v>37</v>
      </c>
      <c r="C52" s="215"/>
      <c r="D52" s="24" t="s">
        <v>39</v>
      </c>
      <c r="E52" s="24" t="s">
        <v>40</v>
      </c>
      <c r="F52" s="24" t="s">
        <v>41</v>
      </c>
      <c r="G52" s="24" t="s">
        <v>42</v>
      </c>
      <c r="H52" s="67" t="s">
        <v>43</v>
      </c>
      <c r="I52" s="24" t="s">
        <v>44</v>
      </c>
      <c r="J52" s="24" t="s">
        <v>45</v>
      </c>
      <c r="K52" s="24" t="s">
        <v>46</v>
      </c>
      <c r="L52" s="24" t="s">
        <v>47</v>
      </c>
      <c r="M52" s="67" t="s">
        <v>48</v>
      </c>
      <c r="N52" s="24" t="s">
        <v>49</v>
      </c>
      <c r="O52" s="24" t="s">
        <v>104</v>
      </c>
      <c r="P52" s="24" t="s">
        <v>105</v>
      </c>
      <c r="Q52" s="22" t="s">
        <v>97</v>
      </c>
      <c r="R52" s="208" t="s">
        <v>98</v>
      </c>
      <c r="S52" s="22" t="s">
        <v>99</v>
      </c>
      <c r="T52" s="22" t="s">
        <v>100</v>
      </c>
      <c r="U52" s="22" t="s">
        <v>101</v>
      </c>
      <c r="V52" s="22" t="s">
        <v>102</v>
      </c>
      <c r="W52" s="69" t="s">
        <v>103</v>
      </c>
    </row>
    <row r="53" spans="1:23" s="135" customFormat="1" ht="15.6" customHeight="1" x14ac:dyDescent="0.25">
      <c r="A53" s="182"/>
      <c r="B53" s="122" t="s">
        <v>95</v>
      </c>
      <c r="C53" s="136"/>
      <c r="D53" s="124">
        <f t="shared" ref="D53:W53" si="47">+D42-D14</f>
        <v>0</v>
      </c>
      <c r="E53" s="124">
        <f t="shared" si="47"/>
        <v>0</v>
      </c>
      <c r="F53" s="124">
        <f t="shared" si="47"/>
        <v>0</v>
      </c>
      <c r="G53" s="124">
        <f t="shared" si="47"/>
        <v>0</v>
      </c>
      <c r="H53" s="126">
        <f t="shared" si="47"/>
        <v>0</v>
      </c>
      <c r="I53" s="124">
        <f t="shared" si="47"/>
        <v>0</v>
      </c>
      <c r="J53" s="124">
        <f t="shared" si="47"/>
        <v>0</v>
      </c>
      <c r="K53" s="124">
        <f t="shared" si="47"/>
        <v>0</v>
      </c>
      <c r="L53" s="124">
        <f t="shared" si="47"/>
        <v>0</v>
      </c>
      <c r="M53" s="126">
        <f t="shared" si="47"/>
        <v>0</v>
      </c>
      <c r="N53" s="124">
        <f t="shared" si="47"/>
        <v>0</v>
      </c>
      <c r="O53" s="124">
        <f t="shared" si="47"/>
        <v>0</v>
      </c>
      <c r="P53" s="124">
        <f t="shared" si="47"/>
        <v>0</v>
      </c>
      <c r="Q53" s="124">
        <f t="shared" si="47"/>
        <v>0</v>
      </c>
      <c r="R53" s="126">
        <f t="shared" si="47"/>
        <v>0</v>
      </c>
      <c r="S53" s="124">
        <f t="shared" si="47"/>
        <v>0</v>
      </c>
      <c r="T53" s="124">
        <f t="shared" si="47"/>
        <v>0</v>
      </c>
      <c r="U53" s="124">
        <f t="shared" si="47"/>
        <v>0</v>
      </c>
      <c r="V53" s="124">
        <f t="shared" si="47"/>
        <v>0</v>
      </c>
      <c r="W53" s="126">
        <f t="shared" si="47"/>
        <v>0</v>
      </c>
    </row>
    <row r="54" spans="1:23" ht="15" customHeight="1" x14ac:dyDescent="0.4">
      <c r="A54" s="176"/>
      <c r="B54" s="214" t="s">
        <v>15</v>
      </c>
      <c r="C54" s="215"/>
      <c r="D54" s="24" t="s">
        <v>39</v>
      </c>
      <c r="E54" s="24" t="s">
        <v>40</v>
      </c>
      <c r="F54" s="24" t="s">
        <v>41</v>
      </c>
      <c r="G54" s="24" t="s">
        <v>42</v>
      </c>
      <c r="H54" s="67" t="s">
        <v>43</v>
      </c>
      <c r="I54" s="24" t="s">
        <v>44</v>
      </c>
      <c r="J54" s="24" t="s">
        <v>45</v>
      </c>
      <c r="K54" s="24" t="s">
        <v>46</v>
      </c>
      <c r="L54" s="24" t="s">
        <v>47</v>
      </c>
      <c r="M54" s="67" t="s">
        <v>48</v>
      </c>
      <c r="N54" s="24" t="s">
        <v>49</v>
      </c>
      <c r="O54" s="24" t="s">
        <v>104</v>
      </c>
      <c r="P54" s="24" t="s">
        <v>105</v>
      </c>
      <c r="Q54" s="22" t="s">
        <v>97</v>
      </c>
      <c r="R54" s="69" t="s">
        <v>98</v>
      </c>
      <c r="S54" s="22" t="s">
        <v>99</v>
      </c>
      <c r="T54" s="22" t="s">
        <v>100</v>
      </c>
      <c r="U54" s="22" t="s">
        <v>101</v>
      </c>
      <c r="V54" s="22" t="s">
        <v>102</v>
      </c>
      <c r="W54" s="69" t="s">
        <v>103</v>
      </c>
    </row>
    <row r="55" spans="1:23" s="36" customFormat="1" outlineLevel="1" x14ac:dyDescent="0.25">
      <c r="A55" s="183"/>
      <c r="B55" s="212" t="s">
        <v>93</v>
      </c>
      <c r="C55" s="213"/>
      <c r="D55" s="44">
        <f t="shared" ref="D55:P55" si="48">(D16/D14)</f>
        <v>0.34135722359442372</v>
      </c>
      <c r="E55" s="44">
        <f t="shared" si="48"/>
        <v>0.3365945638252455</v>
      </c>
      <c r="F55" s="44">
        <f t="shared" si="48"/>
        <v>0.34556061695836332</v>
      </c>
      <c r="G55" s="44">
        <f t="shared" si="48"/>
        <v>0.33886027718460832</v>
      </c>
      <c r="H55" s="46">
        <f t="shared" si="48"/>
        <v>0.34048204233727108</v>
      </c>
      <c r="I55" s="44">
        <f t="shared" si="48"/>
        <v>0.34541227402092434</v>
      </c>
      <c r="J55" s="44">
        <f t="shared" si="48"/>
        <v>0.34024882644519583</v>
      </c>
      <c r="K55" s="44">
        <f t="shared" si="48"/>
        <v>0.34792031024256709</v>
      </c>
      <c r="L55" s="44">
        <f t="shared" si="48"/>
        <v>0.34075723830734966</v>
      </c>
      <c r="M55" s="46">
        <f t="shared" si="48"/>
        <v>0.34342855558533497</v>
      </c>
      <c r="N55" s="44">
        <f t="shared" si="48"/>
        <v>0.34179902202342594</v>
      </c>
      <c r="O55" s="44">
        <f t="shared" si="48"/>
        <v>0.33827296604948281</v>
      </c>
      <c r="P55" s="44">
        <f t="shared" si="48"/>
        <v>0.34481871946515813</v>
      </c>
      <c r="Q55" s="50">
        <v>0.34200000000000003</v>
      </c>
      <c r="R55" s="184">
        <f>(R16/R14)</f>
        <v>0.34160588252953095</v>
      </c>
      <c r="S55" s="50">
        <v>0.34</v>
      </c>
      <c r="T55" s="50">
        <v>0.33600000000000002</v>
      </c>
      <c r="U55" s="50">
        <v>0.34360000000000002</v>
      </c>
      <c r="V55" s="50">
        <f>Q55</f>
        <v>0.34200000000000003</v>
      </c>
      <c r="W55" s="46">
        <f>(W16/W14)</f>
        <v>0.3402368446924523</v>
      </c>
    </row>
    <row r="56" spans="1:23" s="36" customFormat="1" outlineLevel="1" x14ac:dyDescent="0.25">
      <c r="A56" s="183"/>
      <c r="B56" s="58" t="s">
        <v>94</v>
      </c>
      <c r="C56" s="59"/>
      <c r="D56" s="44">
        <f t="shared" ref="D56:P56" si="49">D17/D14</f>
        <v>0.1825679239753841</v>
      </c>
      <c r="E56" s="44">
        <f t="shared" si="49"/>
        <v>0.16184004553863668</v>
      </c>
      <c r="F56" s="44">
        <f t="shared" si="49"/>
        <v>0.18037241269080156</v>
      </c>
      <c r="G56" s="44">
        <f t="shared" si="49"/>
        <v>0.18590629317924884</v>
      </c>
      <c r="H56" s="46">
        <f t="shared" si="49"/>
        <v>0.17703956235629906</v>
      </c>
      <c r="I56" s="44">
        <f t="shared" si="49"/>
        <v>0.19156612017477051</v>
      </c>
      <c r="J56" s="44">
        <f t="shared" si="49"/>
        <v>0.16426484587860685</v>
      </c>
      <c r="K56" s="44">
        <f t="shared" si="49"/>
        <v>0.18279978708843433</v>
      </c>
      <c r="L56" s="44">
        <f t="shared" si="49"/>
        <v>0.18579895058699181</v>
      </c>
      <c r="M56" s="46">
        <f t="shared" si="49"/>
        <v>0.18033695923403234</v>
      </c>
      <c r="N56" s="44">
        <f t="shared" si="49"/>
        <v>0.18725597968234714</v>
      </c>
      <c r="O56" s="44">
        <f t="shared" si="49"/>
        <v>0.16355912967346542</v>
      </c>
      <c r="P56" s="44">
        <f t="shared" si="49"/>
        <v>0.18153767035227564</v>
      </c>
      <c r="Q56" s="50">
        <v>0.184</v>
      </c>
      <c r="R56" s="184"/>
      <c r="S56" s="50">
        <v>0.18438641479258872</v>
      </c>
      <c r="T56" s="50">
        <v>0.1607004258910594</v>
      </c>
      <c r="U56" s="50">
        <v>0.17799999999999999</v>
      </c>
      <c r="V56" s="50">
        <v>0.183</v>
      </c>
      <c r="W56" s="46"/>
    </row>
    <row r="57" spans="1:23" s="36" customFormat="1" outlineLevel="1" x14ac:dyDescent="0.25">
      <c r="A57" s="183"/>
      <c r="B57" s="212" t="s">
        <v>4</v>
      </c>
      <c r="C57" s="213"/>
      <c r="D57" s="44">
        <f t="shared" ref="D57:W57" si="50">D21/D14</f>
        <v>0.14020178339682673</v>
      </c>
      <c r="E57" s="44">
        <f t="shared" si="50"/>
        <v>0.15878041838622456</v>
      </c>
      <c r="F57" s="44">
        <f t="shared" si="50"/>
        <v>0.14704707104611203</v>
      </c>
      <c r="G57" s="44">
        <f t="shared" si="50"/>
        <v>0.13352593895239293</v>
      </c>
      <c r="H57" s="46">
        <f t="shared" si="50"/>
        <v>0.14549472766193611</v>
      </c>
      <c r="I57" s="44">
        <f t="shared" si="50"/>
        <v>0.13552731791397762</v>
      </c>
      <c r="J57" s="44">
        <f t="shared" si="50"/>
        <v>0.16088369497423102</v>
      </c>
      <c r="K57" s="44">
        <f t="shared" si="50"/>
        <v>0.14713709984031634</v>
      </c>
      <c r="L57" s="44">
        <f t="shared" si="50"/>
        <v>0.12751500509607036</v>
      </c>
      <c r="M57" s="46">
        <f t="shared" si="50"/>
        <v>0.14352651959742335</v>
      </c>
      <c r="N57" s="44">
        <f t="shared" si="50"/>
        <v>0.13634812933550661</v>
      </c>
      <c r="O57" s="44">
        <f t="shared" si="50"/>
        <v>0.15876001167353027</v>
      </c>
      <c r="P57" s="44">
        <f t="shared" si="50"/>
        <v>0.14498769422914448</v>
      </c>
      <c r="Q57" s="44">
        <f t="shared" si="50"/>
        <v>0.13506239446225593</v>
      </c>
      <c r="R57" s="184">
        <f t="shared" si="50"/>
        <v>0.1444377106414482</v>
      </c>
      <c r="S57" s="44">
        <f t="shared" si="50"/>
        <v>0.13454891474640673</v>
      </c>
      <c r="T57" s="44">
        <f t="shared" si="50"/>
        <v>0.15676680610049118</v>
      </c>
      <c r="U57" s="44">
        <f t="shared" si="50"/>
        <v>0.14403560740175872</v>
      </c>
      <c r="V57" s="44">
        <f t="shared" si="50"/>
        <v>0.1365074792502623</v>
      </c>
      <c r="W57" s="184">
        <f t="shared" si="50"/>
        <v>0.14354540881891359</v>
      </c>
    </row>
    <row r="58" spans="1:23" s="36" customFormat="1" outlineLevel="1" x14ac:dyDescent="0.25">
      <c r="A58" s="183"/>
      <c r="B58" s="212" t="s">
        <v>2</v>
      </c>
      <c r="C58" s="213"/>
      <c r="D58" s="44">
        <f t="shared" ref="D58:P58" si="51">D27/D26</f>
        <v>0.35199485199485198</v>
      </c>
      <c r="E58" s="44">
        <f t="shared" si="51"/>
        <v>0.36592311343141909</v>
      </c>
      <c r="F58" s="44">
        <f t="shared" si="51"/>
        <v>0.36935624817943491</v>
      </c>
      <c r="G58" s="44">
        <f t="shared" si="51"/>
        <v>0.39551478083588176</v>
      </c>
      <c r="H58" s="46">
        <f t="shared" si="51"/>
        <v>0.36998101912687986</v>
      </c>
      <c r="I58" s="44">
        <f t="shared" si="51"/>
        <v>0.23488224061107574</v>
      </c>
      <c r="J58" s="44">
        <f t="shared" si="51"/>
        <v>0.24683136412459722</v>
      </c>
      <c r="K58" s="44">
        <f t="shared" si="51"/>
        <v>0.21365880416895228</v>
      </c>
      <c r="L58" s="44">
        <f t="shared" si="51"/>
        <v>0.24702858978477352</v>
      </c>
      <c r="M58" s="46">
        <f t="shared" si="51"/>
        <v>0.23598516075845014</v>
      </c>
      <c r="N58" s="44">
        <f t="shared" si="51"/>
        <v>0.24398315282791816</v>
      </c>
      <c r="O58" s="44">
        <f t="shared" si="51"/>
        <v>0.24582701062215478</v>
      </c>
      <c r="P58" s="44">
        <f t="shared" si="51"/>
        <v>0.24488682847013907</v>
      </c>
      <c r="Q58" s="50">
        <v>0.255</v>
      </c>
      <c r="R58" s="184">
        <f>R27/R26</f>
        <v>0.24717368183166238</v>
      </c>
      <c r="S58" s="50">
        <v>0.25</v>
      </c>
      <c r="T58" s="50">
        <v>0.25</v>
      </c>
      <c r="U58" s="50">
        <v>0.25</v>
      </c>
      <c r="V58" s="50">
        <v>0.25</v>
      </c>
      <c r="W58" s="46">
        <f>W27/W26</f>
        <v>0.25000000000000006</v>
      </c>
    </row>
    <row r="59" spans="1:23" s="36" customFormat="1" hidden="1" outlineLevel="1" x14ac:dyDescent="0.25">
      <c r="A59" s="183"/>
      <c r="B59" s="212"/>
      <c r="C59" s="213"/>
      <c r="D59" s="44"/>
      <c r="E59" s="44"/>
      <c r="F59" s="44"/>
      <c r="G59" s="44"/>
      <c r="H59" s="46"/>
      <c r="I59" s="44"/>
      <c r="J59" s="44"/>
      <c r="K59" s="44"/>
      <c r="L59" s="44"/>
      <c r="M59" s="46"/>
      <c r="N59" s="44"/>
      <c r="O59" s="44"/>
      <c r="P59" s="44"/>
      <c r="Q59" s="50"/>
      <c r="R59" s="46"/>
      <c r="S59" s="50"/>
      <c r="T59" s="50"/>
      <c r="U59" s="50"/>
      <c r="V59" s="50"/>
      <c r="W59" s="46"/>
    </row>
    <row r="60" spans="1:23" s="36" customFormat="1" hidden="1" outlineLevel="1" x14ac:dyDescent="0.25">
      <c r="A60" s="183"/>
      <c r="B60" s="212"/>
      <c r="C60" s="213"/>
      <c r="D60" s="44"/>
      <c r="E60" s="44"/>
      <c r="F60" s="44"/>
      <c r="G60" s="44"/>
      <c r="H60" s="46"/>
      <c r="I60" s="44"/>
      <c r="J60" s="44"/>
      <c r="K60" s="44"/>
      <c r="L60" s="44"/>
      <c r="M60" s="46"/>
      <c r="N60" s="44"/>
      <c r="O60" s="44"/>
      <c r="P60" s="44"/>
      <c r="Q60" s="50"/>
      <c r="R60" s="46"/>
      <c r="S60" s="50"/>
      <c r="T60" s="50"/>
      <c r="U60" s="50"/>
      <c r="V60" s="50"/>
      <c r="W60" s="46"/>
    </row>
    <row r="61" spans="1:23" ht="18" x14ac:dyDescent="0.4">
      <c r="A61" s="176"/>
      <c r="B61" s="214" t="s">
        <v>57</v>
      </c>
      <c r="C61" s="215"/>
      <c r="D61" s="24" t="s">
        <v>39</v>
      </c>
      <c r="E61" s="24" t="s">
        <v>40</v>
      </c>
      <c r="F61" s="24" t="s">
        <v>41</v>
      </c>
      <c r="G61" s="24" t="s">
        <v>42</v>
      </c>
      <c r="H61" s="67" t="s">
        <v>43</v>
      </c>
      <c r="I61" s="24" t="s">
        <v>44</v>
      </c>
      <c r="J61" s="24" t="s">
        <v>45</v>
      </c>
      <c r="K61" s="24" t="s">
        <v>46</v>
      </c>
      <c r="L61" s="24" t="s">
        <v>47</v>
      </c>
      <c r="M61" s="67" t="s">
        <v>48</v>
      </c>
      <c r="N61" s="24" t="s">
        <v>49</v>
      </c>
      <c r="O61" s="24" t="s">
        <v>104</v>
      </c>
      <c r="P61" s="24" t="s">
        <v>105</v>
      </c>
      <c r="Q61" s="22" t="s">
        <v>97</v>
      </c>
      <c r="R61" s="69" t="s">
        <v>98</v>
      </c>
      <c r="S61" s="22" t="s">
        <v>99</v>
      </c>
      <c r="T61" s="22" t="s">
        <v>100</v>
      </c>
      <c r="U61" s="22" t="s">
        <v>101</v>
      </c>
      <c r="V61" s="22" t="s">
        <v>102</v>
      </c>
      <c r="W61" s="69" t="s">
        <v>103</v>
      </c>
    </row>
    <row r="62" spans="1:23" outlineLevel="1" x14ac:dyDescent="0.25">
      <c r="A62" s="176"/>
      <c r="B62" s="212" t="s">
        <v>11</v>
      </c>
      <c r="C62" s="213"/>
      <c r="D62" s="44"/>
      <c r="E62" s="44">
        <f>(E29+E66)/D29-1</f>
        <v>1.9232420701167374E-3</v>
      </c>
      <c r="F62" s="44">
        <f>(F29+F66)/E29-1</f>
        <v>-2.2148960270498286E-3</v>
      </c>
      <c r="G62" s="44">
        <f>(G29+G66)/F29-1</f>
        <v>2.9832482876712696E-3</v>
      </c>
      <c r="H62" s="45"/>
      <c r="I62" s="44">
        <f>(I29+I66)/G29-1</f>
        <v>-2.6076879310344969E-3</v>
      </c>
      <c r="J62" s="44">
        <f>(J29+J66)/I29-1</f>
        <v>1.8793888888888333E-3</v>
      </c>
      <c r="K62" s="44">
        <f>(K29+K66)/J29-1</f>
        <v>4.0584090909090431E-3</v>
      </c>
      <c r="L62" s="44">
        <f>(L29+L66)/K29-1</f>
        <v>6.0039444933919217E-3</v>
      </c>
      <c r="M62" s="21"/>
      <c r="N62" s="44">
        <f>(N29+N66)/L29-1</f>
        <v>-7.1398028673835823E-3</v>
      </c>
      <c r="O62" s="44">
        <f>(O29+O66)/N29-1</f>
        <v>1.4484105358780752E-4</v>
      </c>
      <c r="P62" s="44">
        <f>(P29+P66)/O29-1</f>
        <v>-7.4399817351589181E-4</v>
      </c>
      <c r="Q62" s="50">
        <f t="shared" ref="Q62:Q63" si="52">AVERAGE(L62,N62,O62,P62)</f>
        <v>-4.3375387347993621E-4</v>
      </c>
      <c r="R62" s="21"/>
      <c r="S62" s="50">
        <f t="shared" ref="S62:S63" si="53">AVERAGE(N62,O62,P62,Q62)</f>
        <v>-2.0431784651979007E-3</v>
      </c>
      <c r="T62" s="50">
        <f t="shared" ref="T62:T63" si="54">AVERAGE(O62,P62,Q62,S62)</f>
        <v>-7.690223646514803E-4</v>
      </c>
      <c r="U62" s="50">
        <f t="shared" ref="U62:U63" si="55">AVERAGE(P62,Q62,S62,T62)</f>
        <v>-9.9748821921130226E-4</v>
      </c>
      <c r="V62" s="50">
        <f t="shared" ref="V62:V63" si="56">AVERAGE(Q62,S62,T62,U62)</f>
        <v>-1.0608607306351549E-3</v>
      </c>
      <c r="W62" s="21"/>
    </row>
    <row r="63" spans="1:23" outlineLevel="1" x14ac:dyDescent="0.25">
      <c r="A63" s="176"/>
      <c r="B63" s="212" t="s">
        <v>12</v>
      </c>
      <c r="C63" s="213"/>
      <c r="D63" s="44"/>
      <c r="E63" s="44">
        <f>(E30+E66)/D30-1</f>
        <v>1.9136578073088995E-3</v>
      </c>
      <c r="F63" s="44">
        <f>(F30+F66)/E30-1</f>
        <v>-2.203719091673717E-3</v>
      </c>
      <c r="G63" s="44">
        <f>(G30+G66)/F30-1</f>
        <v>3.8197904599659438E-3</v>
      </c>
      <c r="H63" s="45"/>
      <c r="I63" s="44">
        <f>(I30+I66)/G30-1</f>
        <v>-3.4489443016281207E-3</v>
      </c>
      <c r="J63" s="44">
        <f>(J30+J66)/I30-1</f>
        <v>1.0060932642488307E-3</v>
      </c>
      <c r="K63" s="44">
        <f>(K30+K66)/J30-1</f>
        <v>4.911070496083525E-3</v>
      </c>
      <c r="L63" s="44">
        <f>(L30+L66)/K30-1</f>
        <v>5.0959482909727072E-3</v>
      </c>
      <c r="M63" s="21"/>
      <c r="N63" s="44">
        <f>(N30+N66)/L30-1</f>
        <v>-7.1079571810883646E-3</v>
      </c>
      <c r="O63" s="44">
        <f>(O30+O66)/N30-1</f>
        <v>-7.5997287522600043E-4</v>
      </c>
      <c r="P63" s="44">
        <f>(P30+P66)/O30-1</f>
        <v>1.6862784349402915E-4</v>
      </c>
      <c r="Q63" s="50">
        <f t="shared" si="52"/>
        <v>-6.5083848046190718E-4</v>
      </c>
      <c r="R63" s="18"/>
      <c r="S63" s="50">
        <f t="shared" si="53"/>
        <v>-2.0875351733205608E-3</v>
      </c>
      <c r="T63" s="50">
        <f t="shared" si="54"/>
        <v>-8.3242967137860981E-4</v>
      </c>
      <c r="U63" s="50">
        <f t="shared" si="55"/>
        <v>-8.5054387041676215E-4</v>
      </c>
      <c r="V63" s="50">
        <f t="shared" si="56"/>
        <v>-1.1053367988944599E-3</v>
      </c>
      <c r="W63" s="21"/>
    </row>
    <row r="64" spans="1:23" outlineLevel="1" x14ac:dyDescent="0.25">
      <c r="A64" s="176"/>
      <c r="B64" s="212" t="s">
        <v>5</v>
      </c>
      <c r="C64" s="213"/>
      <c r="D64" s="51">
        <v>147.72</v>
      </c>
      <c r="E64" s="51">
        <v>152.74</v>
      </c>
      <c r="F64" s="51">
        <v>154.91</v>
      </c>
      <c r="G64" s="51">
        <v>192</v>
      </c>
      <c r="H64" s="54"/>
      <c r="I64" s="51">
        <v>178.82</v>
      </c>
      <c r="J64" s="51">
        <v>185.52</v>
      </c>
      <c r="K64" s="51">
        <v>198.48</v>
      </c>
      <c r="L64" s="174">
        <v>174.78</v>
      </c>
      <c r="M64" s="54"/>
      <c r="N64" s="174">
        <v>191.75</v>
      </c>
      <c r="O64" s="51">
        <v>203.43</v>
      </c>
      <c r="P64" s="174">
        <v>222.49</v>
      </c>
      <c r="Q64" s="53">
        <f>+P64</f>
        <v>222.49</v>
      </c>
      <c r="R64" s="52"/>
      <c r="S64" s="53">
        <f>+Q64</f>
        <v>222.49</v>
      </c>
      <c r="T64" s="53">
        <f>+S64</f>
        <v>222.49</v>
      </c>
      <c r="U64" s="53">
        <f>+T64</f>
        <v>222.49</v>
      </c>
      <c r="V64" s="53">
        <f>+U64</f>
        <v>222.49</v>
      </c>
      <c r="W64" s="52"/>
    </row>
    <row r="65" spans="1:23" outlineLevel="1" x14ac:dyDescent="0.25">
      <c r="A65" s="176"/>
      <c r="B65" s="212" t="s">
        <v>6</v>
      </c>
      <c r="C65" s="213"/>
      <c r="D65" s="26">
        <v>1361.36344164</v>
      </c>
      <c r="E65" s="26">
        <v>2643.0196805600003</v>
      </c>
      <c r="F65" s="26">
        <v>1917.7514099799998</v>
      </c>
      <c r="G65" s="26">
        <v>2205.011328</v>
      </c>
      <c r="H65" s="27">
        <f>SUM(D65:G65)</f>
        <v>8127.1458601800005</v>
      </c>
      <c r="I65" s="26">
        <v>889.64416323999978</v>
      </c>
      <c r="J65" s="26">
        <v>1885.8211891199999</v>
      </c>
      <c r="K65" s="26">
        <v>2707.8269135999999</v>
      </c>
      <c r="L65" s="168">
        <v>4511.8542900599996</v>
      </c>
      <c r="M65" s="27">
        <f>SUM(I65:L65)</f>
        <v>9995.1465560199977</v>
      </c>
      <c r="N65" s="168">
        <v>1348.3821649999998</v>
      </c>
      <c r="O65" s="26">
        <v>1253.0209820999999</v>
      </c>
      <c r="P65" s="168">
        <v>1153.6822917800002</v>
      </c>
      <c r="Q65" s="49">
        <v>1200</v>
      </c>
      <c r="R65" s="188">
        <f>+SUM(N65:Q65)</f>
        <v>4955.0854388799999</v>
      </c>
      <c r="S65" s="49">
        <v>500</v>
      </c>
      <c r="T65" s="49">
        <v>500</v>
      </c>
      <c r="U65" s="49">
        <v>500</v>
      </c>
      <c r="V65" s="49">
        <v>500</v>
      </c>
      <c r="W65" s="27">
        <f>+SUM(S65:V65)</f>
        <v>2000</v>
      </c>
    </row>
    <row r="66" spans="1:23" outlineLevel="1" x14ac:dyDescent="0.25">
      <c r="A66" s="176"/>
      <c r="B66" s="210" t="s">
        <v>16</v>
      </c>
      <c r="C66" s="211"/>
      <c r="D66" s="55">
        <f>IF((D65)&gt;0,(D65/D64),0)</f>
        <v>9.2158370000000005</v>
      </c>
      <c r="E66" s="55">
        <f>IF((E65)&gt;0,(E65/E64),0)</f>
        <v>17.304044000000001</v>
      </c>
      <c r="F66" s="55">
        <f>IF((F65)&gt;0,(F65/F64),0)</f>
        <v>12.379778</v>
      </c>
      <c r="G66" s="55">
        <f>IF((G65)&gt;0,(G65/G64),0)</f>
        <v>11.484434</v>
      </c>
      <c r="H66" s="108">
        <f>+SUM(D66:G66)</f>
        <v>50.384093</v>
      </c>
      <c r="I66" s="55">
        <f>IF((I65)&gt;0,(I65/I64),0)</f>
        <v>4.9750819999999987</v>
      </c>
      <c r="J66" s="55">
        <f>IF((J65)&gt;0,(J65/J64),0)</f>
        <v>10.165055999999998</v>
      </c>
      <c r="K66" s="55">
        <f>IF((K65)&gt;0,(K65/K64),0)</f>
        <v>13.64282</v>
      </c>
      <c r="L66" s="175">
        <f>IF((L65)&gt;0,(L65/L64),0)</f>
        <v>25.814476999999997</v>
      </c>
      <c r="M66" s="108">
        <f>+SUM(I66:L66)</f>
        <v>54.59743499999999</v>
      </c>
      <c r="N66" s="175">
        <f>IF((N65)&gt;0,(N65/N64),0)</f>
        <v>7.031979999999999</v>
      </c>
      <c r="O66" s="55">
        <f>IF((O65)&gt;0,(O65/O64),0)</f>
        <v>6.1594699999999989</v>
      </c>
      <c r="P66" s="55">
        <f>IF((P65)&gt;0,(P65/P64),0)</f>
        <v>5.1853220000000011</v>
      </c>
      <c r="Q66" s="55">
        <f>IF((Q65)&gt;0,(Q65/Q64),0)</f>
        <v>5.393500831498045</v>
      </c>
      <c r="R66" s="108">
        <f>+SUM(N66:Q66)</f>
        <v>23.770272831498044</v>
      </c>
      <c r="S66" s="55">
        <f>IF((S65)&gt;0,(S65/S64),0)</f>
        <v>2.2472920131241851</v>
      </c>
      <c r="T66" s="55">
        <f>IF((T65)&gt;0,(T65/T64),0)</f>
        <v>2.2472920131241851</v>
      </c>
      <c r="U66" s="55">
        <f>IF((U65)&gt;0,(U65/U64),0)</f>
        <v>2.2472920131241851</v>
      </c>
      <c r="V66" s="55">
        <f>IF((V65)&gt;0,(V65/V64),0)</f>
        <v>2.2472920131241851</v>
      </c>
      <c r="W66" s="108">
        <f>+SUM(S66:V66)</f>
        <v>8.9891680524967406</v>
      </c>
    </row>
    <row r="67" spans="1:23" x14ac:dyDescent="0.25">
      <c r="B67" s="19"/>
      <c r="C67" s="19"/>
      <c r="E67" s="70"/>
      <c r="F67" s="70"/>
      <c r="G67" s="70"/>
      <c r="H67" s="70"/>
      <c r="I67" s="70"/>
      <c r="J67" s="70"/>
      <c r="K67" s="70"/>
      <c r="L67" s="70"/>
      <c r="M67" s="70"/>
      <c r="N67" s="146"/>
      <c r="P67" s="3"/>
      <c r="Q67" s="3"/>
      <c r="R67" s="70"/>
      <c r="U67" s="3"/>
      <c r="V67" s="3"/>
      <c r="W67" s="70"/>
    </row>
  </sheetData>
  <dataConsolidate/>
  <mergeCells count="34">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 ref="B2:C2"/>
    <mergeCell ref="B59:C59"/>
    <mergeCell ref="B25:C25"/>
    <mergeCell ref="B3:C3"/>
    <mergeCell ref="B4:C4"/>
    <mergeCell ref="B5:C5"/>
    <mergeCell ref="B13:C13"/>
    <mergeCell ref="B32:C32"/>
    <mergeCell ref="B31:C31"/>
    <mergeCell ref="B30:C30"/>
    <mergeCell ref="B29:C29"/>
    <mergeCell ref="B28:C28"/>
    <mergeCell ref="B14:C14"/>
    <mergeCell ref="B66:C66"/>
    <mergeCell ref="B65:C65"/>
    <mergeCell ref="B54:C54"/>
    <mergeCell ref="B55:C55"/>
    <mergeCell ref="B61:C61"/>
    <mergeCell ref="B64:C64"/>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H12" sqref="H12"/>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9" t="s">
        <v>107</v>
      </c>
    </row>
    <row r="2" spans="2:14" x14ac:dyDescent="0.25">
      <c r="B2" s="79"/>
    </row>
    <row r="3" spans="2:14" x14ac:dyDescent="0.25">
      <c r="B3" s="7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39"/>
      <c r="I7" s="239"/>
      <c r="J7" s="239"/>
      <c r="K7" s="239"/>
      <c r="L7" s="239"/>
      <c r="M7" s="239"/>
      <c r="N7" s="239"/>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9"/>
    </row>
    <row r="41" spans="2:2" x14ac:dyDescent="0.25">
      <c r="B41" s="79"/>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RowHeight="15" x14ac:dyDescent="0.25"/>
  <cols>
    <col min="1" max="1" width="1.28515625" customWidth="1"/>
    <col min="2" max="2" width="12.28515625" customWidth="1"/>
    <col min="8" max="8" width="15.28515625" bestFit="1" customWidth="1"/>
    <col min="11" max="11" width="9.5703125" bestFit="1" customWidth="1"/>
  </cols>
  <sheetData>
    <row r="1" spans="2:11" x14ac:dyDescent="0.25">
      <c r="B1" s="193" t="s">
        <v>106</v>
      </c>
      <c r="C1" s="193"/>
    </row>
    <row r="2" spans="2:11" x14ac:dyDescent="0.25">
      <c r="B2" t="s">
        <v>19</v>
      </c>
    </row>
    <row r="3" spans="2:11" ht="45" x14ac:dyDescent="0.25">
      <c r="B3" s="80" t="s">
        <v>20</v>
      </c>
      <c r="C3" s="80" t="s">
        <v>21</v>
      </c>
      <c r="D3" s="80" t="s">
        <v>22</v>
      </c>
      <c r="E3" s="80" t="s">
        <v>23</v>
      </c>
      <c r="F3" s="80" t="s">
        <v>24</v>
      </c>
      <c r="G3" s="80" t="s">
        <v>35</v>
      </c>
      <c r="H3" s="80" t="s">
        <v>25</v>
      </c>
      <c r="I3" s="80" t="s">
        <v>26</v>
      </c>
      <c r="J3" s="80" t="s">
        <v>27</v>
      </c>
      <c r="K3" s="80" t="s">
        <v>28</v>
      </c>
    </row>
    <row r="4" spans="2:11" x14ac:dyDescent="0.25">
      <c r="B4" s="107">
        <v>43466</v>
      </c>
      <c r="C4" s="89">
        <v>169.71000699999999</v>
      </c>
      <c r="D4" s="89">
        <v>184.66999799999999</v>
      </c>
      <c r="E4" s="89">
        <v>168.21000699999999</v>
      </c>
      <c r="F4" s="89">
        <v>183.529999</v>
      </c>
      <c r="G4" s="89">
        <v>178.66381799999999</v>
      </c>
      <c r="H4" s="112">
        <v>98771800</v>
      </c>
      <c r="I4" s="113"/>
      <c r="J4" s="114"/>
      <c r="K4" s="90"/>
    </row>
    <row r="5" spans="2:11" x14ac:dyDescent="0.25">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25">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25">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25">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25">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25">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25">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25">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25">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25">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25">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25">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25">
      <c r="G17" s="81"/>
      <c r="H17" s="94" t="s">
        <v>29</v>
      </c>
      <c r="I17" s="111">
        <f>AVERAGE(I5:I16)</f>
        <v>1.6359852118266432E-2</v>
      </c>
      <c r="K17" s="82"/>
    </row>
    <row r="18" spans="7:11" x14ac:dyDescent="0.25">
      <c r="G18" s="81"/>
      <c r="J18" s="91" t="s">
        <v>30</v>
      </c>
      <c r="K18" s="103">
        <f>SUM(K5:K16)</f>
        <v>2.8336129755097986E-2</v>
      </c>
    </row>
    <row r="19" spans="7:11" x14ac:dyDescent="0.25">
      <c r="G19" s="81"/>
      <c r="J19" s="91" t="s">
        <v>31</v>
      </c>
      <c r="K19" s="92">
        <f>K18/12</f>
        <v>2.3613441462581653E-3</v>
      </c>
    </row>
    <row r="20" spans="7:11" x14ac:dyDescent="0.25">
      <c r="G20" s="81"/>
      <c r="I20" s="93"/>
      <c r="J20" s="94" t="s">
        <v>32</v>
      </c>
      <c r="K20" s="95">
        <f>SQRT(K19)</f>
        <v>4.8593663643094101E-2</v>
      </c>
    </row>
    <row r="21" spans="7:11" x14ac:dyDescent="0.25">
      <c r="G21" s="81"/>
      <c r="J21" s="97" t="s">
        <v>33</v>
      </c>
      <c r="K21" s="96">
        <f>_xlfn.STDEV.P(I5:I16)-K20</f>
        <v>0</v>
      </c>
    </row>
    <row r="22" spans="7:11" x14ac:dyDescent="0.25">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2020-02-17T18:57:07Z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