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F5C00186-6E0A-4154-90A1-EAEC73B52F2A}" xr6:coauthVersionLast="45" xr6:coauthVersionMax="45" xr10:uidLastSave="{00000000-0000-0000-0000-000000000000}"/>
  <bookViews>
    <workbookView xWindow="5370" yWindow="5370" windowWidth="38700" windowHeight="15885" tabRatio="767" firstSheet="1" activeTab="1" xr2:uid="{00000000-000D-0000-FFFF-FFFF00000000}"/>
  </bookViews>
  <sheets>
    <sheet name="Instructions" sheetId="31" state="hidden" r:id="rId1"/>
    <sheet name="Earnings Model" sheetId="3" r:id="rId2"/>
    <sheet name="Charts" sheetId="21" r:id="rId3"/>
    <sheet name="Std Dev" sheetId="29" state="hidden" r:id="rId4"/>
  </sheets>
  <definedNames>
    <definedName name="DATA" localSheetId="2">#REF!</definedName>
    <definedName name="DATA" localSheetId="0">#REF!</definedName>
    <definedName name="DATA">#REF!</definedName>
    <definedName name="_xlnm.Print_Area" localSheetId="1">'Earnings Model'!$B$2:$W$67</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7" i="3" l="1"/>
  <c r="Q37" i="3"/>
  <c r="Q39" i="3"/>
  <c r="N40" i="3"/>
  <c r="O40" i="3"/>
  <c r="P40" i="3"/>
  <c r="Q40" i="3"/>
  <c r="Q41" i="3"/>
  <c r="Q42" i="3"/>
  <c r="Q14" i="3"/>
  <c r="R14" i="3"/>
  <c r="Q15" i="3"/>
  <c r="R15" i="3"/>
  <c r="R16" i="3"/>
  <c r="Q17" i="3"/>
  <c r="R17" i="3"/>
  <c r="R18" i="3"/>
  <c r="R19" i="3"/>
  <c r="R20" i="3"/>
  <c r="R21" i="3"/>
  <c r="H14" i="3"/>
  <c r="H15" i="3"/>
  <c r="H16" i="3"/>
  <c r="H17" i="3"/>
  <c r="H18" i="3"/>
  <c r="H19" i="3"/>
  <c r="H20" i="3"/>
  <c r="H21" i="3"/>
  <c r="H22" i="3"/>
  <c r="H23" i="3"/>
  <c r="H24" i="3"/>
  <c r="H25" i="3"/>
  <c r="H26" i="3"/>
  <c r="H27" i="3"/>
  <c r="H28" i="3"/>
  <c r="M14" i="3"/>
  <c r="M15" i="3"/>
  <c r="M16" i="3"/>
  <c r="M17" i="3"/>
  <c r="M18" i="3"/>
  <c r="M19" i="3"/>
  <c r="M20" i="3"/>
  <c r="M21" i="3"/>
  <c r="M22" i="3"/>
  <c r="M23" i="3"/>
  <c r="M24" i="3"/>
  <c r="M25" i="3"/>
  <c r="M26" i="3"/>
  <c r="M27" i="3"/>
  <c r="M28" i="3"/>
  <c r="N16" i="3"/>
  <c r="N20" i="3"/>
  <c r="N21" i="3"/>
  <c r="N25" i="3"/>
  <c r="N26" i="3"/>
  <c r="N28" i="3"/>
  <c r="O16" i="3"/>
  <c r="O20" i="3"/>
  <c r="O21" i="3"/>
  <c r="O25" i="3"/>
  <c r="O26" i="3"/>
  <c r="O28" i="3"/>
  <c r="P16" i="3"/>
  <c r="P20" i="3"/>
  <c r="P21" i="3"/>
  <c r="P25" i="3"/>
  <c r="P26" i="3"/>
  <c r="P28" i="3"/>
  <c r="R22" i="3"/>
  <c r="R23" i="3"/>
  <c r="R24" i="3"/>
  <c r="R25" i="3"/>
  <c r="R26" i="3"/>
  <c r="Q16" i="3"/>
  <c r="Q20" i="3"/>
  <c r="Q21" i="3"/>
  <c r="Q25" i="3"/>
  <c r="Q26" i="3"/>
  <c r="Q27" i="3"/>
  <c r="R27" i="3"/>
  <c r="R28" i="3"/>
  <c r="Q33" i="3"/>
  <c r="L66" i="3"/>
  <c r="L62" i="3"/>
  <c r="N66" i="3"/>
  <c r="N62" i="3"/>
  <c r="O66" i="3"/>
  <c r="O62" i="3"/>
  <c r="P66" i="3"/>
  <c r="P62" i="3"/>
  <c r="Q62" i="3"/>
  <c r="Q64" i="3"/>
  <c r="Q66" i="3"/>
  <c r="Q29" i="3"/>
  <c r="Q28" i="3"/>
  <c r="I16" i="3"/>
  <c r="I20" i="3"/>
  <c r="I21" i="3"/>
  <c r="I25" i="3"/>
  <c r="I26" i="3"/>
  <c r="I28" i="3"/>
  <c r="J16" i="3"/>
  <c r="J20" i="3"/>
  <c r="J21" i="3"/>
  <c r="J25" i="3"/>
  <c r="J26" i="3"/>
  <c r="J28" i="3"/>
  <c r="K16" i="3"/>
  <c r="K20" i="3"/>
  <c r="K21" i="3"/>
  <c r="K25" i="3"/>
  <c r="K26" i="3"/>
  <c r="K28" i="3"/>
  <c r="L16" i="3"/>
  <c r="L20" i="3"/>
  <c r="L21" i="3"/>
  <c r="L25" i="3"/>
  <c r="L26" i="3"/>
  <c r="L28" i="3"/>
  <c r="S25" i="3"/>
  <c r="S39" i="3"/>
  <c r="S40" i="3"/>
  <c r="S42" i="3"/>
  <c r="S14" i="3"/>
  <c r="S15" i="3"/>
  <c r="S16" i="3"/>
  <c r="S17" i="3"/>
  <c r="S20" i="3"/>
  <c r="S21" i="3"/>
  <c r="S26" i="3"/>
  <c r="S27" i="3"/>
  <c r="S28" i="3"/>
  <c r="S33" i="3"/>
  <c r="S62" i="3"/>
  <c r="S64" i="3"/>
  <c r="S66" i="3"/>
  <c r="S29" i="3"/>
  <c r="T25" i="3"/>
  <c r="T39" i="3"/>
  <c r="T40" i="3"/>
  <c r="P39" i="3"/>
  <c r="P42" i="3"/>
  <c r="P44" i="3"/>
  <c r="P41" i="3"/>
  <c r="O39" i="3"/>
  <c r="O42" i="3"/>
  <c r="O44" i="3"/>
  <c r="O41" i="3"/>
  <c r="T41" i="3"/>
  <c r="T42" i="3"/>
  <c r="T14" i="3"/>
  <c r="T15" i="3"/>
  <c r="T16" i="3"/>
  <c r="T17" i="3"/>
  <c r="T20" i="3"/>
  <c r="T21" i="3"/>
  <c r="T26" i="3"/>
  <c r="T27" i="3"/>
  <c r="T28" i="3"/>
  <c r="T33" i="3"/>
  <c r="T62" i="3"/>
  <c r="T64" i="3"/>
  <c r="T66" i="3"/>
  <c r="T29" i="3"/>
  <c r="U25" i="3"/>
  <c r="U39" i="3"/>
  <c r="U40" i="3"/>
  <c r="U41" i="3"/>
  <c r="U42" i="3"/>
  <c r="U14" i="3"/>
  <c r="U15" i="3"/>
  <c r="U16" i="3"/>
  <c r="U17" i="3"/>
  <c r="U20" i="3"/>
  <c r="U21" i="3"/>
  <c r="U26" i="3"/>
  <c r="U27" i="3"/>
  <c r="U28" i="3"/>
  <c r="U33" i="3"/>
  <c r="U62" i="3"/>
  <c r="U64" i="3"/>
  <c r="U66" i="3"/>
  <c r="U29" i="3"/>
  <c r="W22" i="3"/>
  <c r="W23" i="3"/>
  <c r="W24" i="3"/>
  <c r="W25" i="3"/>
  <c r="V39" i="3"/>
  <c r="V40" i="3"/>
  <c r="V41" i="3"/>
  <c r="V42" i="3"/>
  <c r="V14" i="3"/>
  <c r="W14" i="3"/>
  <c r="V55" i="3"/>
  <c r="V15" i="3"/>
  <c r="W15" i="3"/>
  <c r="W16" i="3"/>
  <c r="V17" i="3"/>
  <c r="W17" i="3"/>
  <c r="W18" i="3"/>
  <c r="W19" i="3"/>
  <c r="W20" i="3"/>
  <c r="W21" i="3"/>
  <c r="W26" i="3"/>
  <c r="V25" i="3"/>
  <c r="V16" i="3"/>
  <c r="V20" i="3"/>
  <c r="V21" i="3"/>
  <c r="V26" i="3"/>
  <c r="V27" i="3"/>
  <c r="W27" i="3"/>
  <c r="W28" i="3"/>
  <c r="V33" i="3"/>
  <c r="V62" i="3"/>
  <c r="V64" i="3"/>
  <c r="V66" i="3"/>
  <c r="V29" i="3"/>
  <c r="V28" i="3"/>
  <c r="S37" i="3"/>
  <c r="T37" i="3"/>
  <c r="U37" i="3"/>
  <c r="V37" i="3"/>
  <c r="P55" i="3"/>
  <c r="P56" i="3"/>
  <c r="P63" i="3"/>
  <c r="P58" i="3"/>
  <c r="I39" i="3"/>
  <c r="I42" i="3"/>
  <c r="I44" i="3"/>
  <c r="I41" i="3"/>
  <c r="P50" i="3"/>
  <c r="P48" i="3"/>
  <c r="K41" i="3"/>
  <c r="N55" i="3"/>
  <c r="O55" i="3"/>
  <c r="K66" i="3"/>
  <c r="K62" i="3"/>
  <c r="N63" i="3"/>
  <c r="O63" i="3"/>
  <c r="K63" i="3"/>
  <c r="L63" i="3"/>
  <c r="Q63" i="3"/>
  <c r="S63" i="3"/>
  <c r="T63" i="3"/>
  <c r="U63" i="3"/>
  <c r="V63" i="3"/>
  <c r="Q30" i="3"/>
  <c r="S30" i="3"/>
  <c r="T30" i="3"/>
  <c r="U30" i="3"/>
  <c r="V30" i="3"/>
  <c r="S32" i="3"/>
  <c r="P32" i="3"/>
  <c r="Q32" i="3"/>
  <c r="L39" i="3"/>
  <c r="L42" i="3"/>
  <c r="L44" i="3"/>
  <c r="L41" i="3"/>
  <c r="O58" i="3"/>
  <c r="O56" i="3"/>
  <c r="O38" i="3"/>
  <c r="O50" i="3"/>
  <c r="O48" i="3"/>
  <c r="O32" i="3"/>
  <c r="D42" i="3"/>
  <c r="I43" i="3"/>
  <c r="N39" i="3"/>
  <c r="N42" i="3"/>
  <c r="N44" i="3"/>
  <c r="N41" i="3"/>
  <c r="R40" i="3"/>
  <c r="M40" i="3"/>
  <c r="R46" i="3"/>
  <c r="N58" i="3"/>
  <c r="N56" i="3"/>
  <c r="N45" i="3"/>
  <c r="N38" i="3"/>
  <c r="N50" i="3"/>
  <c r="N48" i="3"/>
  <c r="N33" i="3"/>
  <c r="I66" i="3"/>
  <c r="I62" i="3"/>
  <c r="J66" i="3"/>
  <c r="J62" i="3"/>
  <c r="I5" i="29"/>
  <c r="I6" i="29"/>
  <c r="I7" i="29"/>
  <c r="I8" i="29"/>
  <c r="I9" i="29"/>
  <c r="I10" i="29"/>
  <c r="I11" i="29"/>
  <c r="I12" i="29"/>
  <c r="I13" i="29"/>
  <c r="I14" i="29"/>
  <c r="I15" i="29"/>
  <c r="I16" i="29"/>
  <c r="I17" i="29"/>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2" i="29"/>
  <c r="G25" i="3"/>
  <c r="E25" i="3"/>
  <c r="F25" i="3"/>
  <c r="D25" i="3"/>
  <c r="E56" i="3"/>
  <c r="F56" i="3"/>
  <c r="G56" i="3"/>
  <c r="I56" i="3"/>
  <c r="J56" i="3"/>
  <c r="K56" i="3"/>
  <c r="L56" i="3"/>
  <c r="D56" i="3"/>
  <c r="H40" i="3"/>
  <c r="H39" i="3"/>
  <c r="W38" i="3"/>
  <c r="R38" i="3"/>
  <c r="G42" i="3"/>
  <c r="G53" i="3"/>
  <c r="E42" i="3"/>
  <c r="E53" i="3"/>
  <c r="F42" i="3"/>
  <c r="F53" i="3"/>
  <c r="I53" i="3"/>
  <c r="J42" i="3"/>
  <c r="J53" i="3"/>
  <c r="K42" i="3"/>
  <c r="K53" i="3"/>
  <c r="L53" i="3"/>
  <c r="I38" i="3"/>
  <c r="L38" i="3"/>
  <c r="K38" i="3"/>
  <c r="J38" i="3"/>
  <c r="G38" i="3"/>
  <c r="F38" i="3"/>
  <c r="E38" i="3"/>
  <c r="D38" i="3"/>
  <c r="J39" i="3"/>
  <c r="K39" i="3"/>
  <c r="R37" i="3"/>
  <c r="D44" i="3"/>
  <c r="D41" i="3"/>
  <c r="D45" i="3"/>
  <c r="D53" i="3"/>
  <c r="M39" i="3"/>
  <c r="R39" i="3"/>
  <c r="L43" i="3"/>
  <c r="K43" i="3"/>
  <c r="H38" i="3"/>
  <c r="M38" i="3"/>
  <c r="J43" i="3"/>
  <c r="M46" i="3"/>
  <c r="W39" i="3"/>
  <c r="W40" i="3"/>
  <c r="W46" i="3"/>
  <c r="M37" i="3"/>
  <c r="M42" i="3"/>
  <c r="M53" i="3"/>
  <c r="H42" i="3"/>
  <c r="H53" i="3"/>
  <c r="D20" i="3"/>
  <c r="E20" i="3"/>
  <c r="F20" i="3"/>
  <c r="G20" i="3"/>
  <c r="D16" i="3"/>
  <c r="D55" i="3"/>
  <c r="E16" i="3"/>
  <c r="E55" i="3"/>
  <c r="F16" i="3"/>
  <c r="F55" i="3"/>
  <c r="G16" i="3"/>
  <c r="G55" i="3"/>
  <c r="I55" i="3"/>
  <c r="J55" i="3"/>
  <c r="K55" i="3"/>
  <c r="L55" i="3"/>
  <c r="M43" i="3"/>
  <c r="W37" i="3"/>
  <c r="E21" i="3"/>
  <c r="E26" i="3"/>
  <c r="K32" i="3"/>
  <c r="F21" i="3"/>
  <c r="F26" i="3"/>
  <c r="D21" i="3"/>
  <c r="D26" i="3"/>
  <c r="G21" i="3"/>
  <c r="G26" i="3"/>
  <c r="L32" i="3"/>
  <c r="D28" i="3"/>
  <c r="D58" i="3"/>
  <c r="I32" i="3"/>
  <c r="I58" i="3"/>
  <c r="E28" i="3"/>
  <c r="E31" i="3"/>
  <c r="E58" i="3"/>
  <c r="J31" i="3"/>
  <c r="J58" i="3"/>
  <c r="G28" i="3"/>
  <c r="G31" i="3"/>
  <c r="G58" i="3"/>
  <c r="F28" i="3"/>
  <c r="F32" i="3"/>
  <c r="F58" i="3"/>
  <c r="L58" i="3"/>
  <c r="F31" i="3"/>
  <c r="I31" i="3"/>
  <c r="D31" i="3"/>
  <c r="D32" i="3"/>
  <c r="E32" i="3"/>
  <c r="K58" i="3"/>
  <c r="G32" i="3"/>
  <c r="J32" i="3"/>
  <c r="K31" i="3"/>
  <c r="M65" i="3"/>
  <c r="M33" i="3"/>
  <c r="H33" i="3"/>
  <c r="R33" i="3"/>
  <c r="E44" i="3"/>
  <c r="E41" i="3"/>
  <c r="F44" i="3"/>
  <c r="F41" i="3"/>
  <c r="G44" i="3"/>
  <c r="G41" i="3"/>
  <c r="G45" i="3"/>
  <c r="J44" i="3"/>
  <c r="K44" i="3"/>
  <c r="L45" i="3"/>
  <c r="M56" i="3"/>
  <c r="H56" i="3"/>
  <c r="H41" i="3"/>
  <c r="M41" i="3"/>
  <c r="W33" i="3"/>
  <c r="K45" i="3"/>
  <c r="F45" i="3"/>
  <c r="J45" i="3"/>
  <c r="E45" i="3"/>
  <c r="I45" i="3"/>
  <c r="M55" i="3"/>
  <c r="H55" i="3"/>
  <c r="M58" i="3"/>
  <c r="H58" i="3"/>
  <c r="H29" i="3"/>
  <c r="H30" i="3"/>
  <c r="M30" i="3"/>
  <c r="M29" i="3"/>
  <c r="L31" i="3"/>
  <c r="M32" i="3"/>
  <c r="M31" i="3"/>
  <c r="H31" i="3"/>
  <c r="H32" i="3"/>
  <c r="J63" i="3"/>
  <c r="D66" i="3"/>
  <c r="F66" i="3"/>
  <c r="G66" i="3"/>
  <c r="R65" i="3"/>
  <c r="M66" i="3"/>
  <c r="F63" i="3"/>
  <c r="F62" i="3"/>
  <c r="G63" i="3"/>
  <c r="G62" i="3"/>
  <c r="R66" i="3"/>
  <c r="J57" i="3"/>
  <c r="H65" i="3"/>
  <c r="E66" i="3"/>
  <c r="K57" i="3"/>
  <c r="I63" i="3"/>
  <c r="D57" i="3"/>
  <c r="F57" i="3"/>
  <c r="L57" i="3"/>
  <c r="G57" i="3"/>
  <c r="I57" i="3"/>
  <c r="E62" i="3"/>
  <c r="E63" i="3"/>
  <c r="H66" i="3"/>
  <c r="E57" i="3"/>
  <c r="H57" i="3"/>
  <c r="K21" i="29"/>
  <c r="W65" i="3"/>
  <c r="M57" i="3"/>
  <c r="W66" i="3"/>
  <c r="N43" i="3"/>
  <c r="N53" i="3"/>
  <c r="O43" i="3"/>
  <c r="O45" i="3"/>
  <c r="O53" i="3"/>
  <c r="N57" i="3"/>
  <c r="S45" i="3"/>
  <c r="S44" i="3"/>
  <c r="S43" i="3"/>
  <c r="Q43" i="3"/>
  <c r="Q45" i="3"/>
  <c r="Q44" i="3"/>
  <c r="Q53" i="3"/>
  <c r="S53" i="3"/>
  <c r="R42" i="3"/>
  <c r="R43" i="3"/>
  <c r="R53" i="3"/>
  <c r="R55" i="3"/>
  <c r="O57" i="3"/>
  <c r="R57" i="3"/>
  <c r="P57" i="3"/>
  <c r="Q57" i="3"/>
  <c r="S57" i="3"/>
  <c r="N32" i="3"/>
  <c r="N31" i="3"/>
  <c r="O31" i="3"/>
  <c r="P31" i="3"/>
  <c r="R30" i="3"/>
  <c r="R32" i="3"/>
  <c r="R29" i="3"/>
  <c r="R31" i="3"/>
  <c r="Q31" i="3"/>
  <c r="R58" i="3"/>
  <c r="S31" i="3"/>
  <c r="R41" i="3"/>
  <c r="P43" i="3"/>
  <c r="P45" i="3"/>
  <c r="P53" i="3"/>
  <c r="T53" i="3"/>
  <c r="T43" i="3"/>
  <c r="T45" i="3"/>
  <c r="T44" i="3"/>
  <c r="W41" i="3"/>
  <c r="U45" i="3"/>
  <c r="U44" i="3"/>
  <c r="U43" i="3"/>
  <c r="U53" i="3"/>
  <c r="V53" i="3"/>
  <c r="V45" i="3"/>
  <c r="V44" i="3"/>
  <c r="V43" i="3"/>
  <c r="W42" i="3"/>
  <c r="W43" i="3"/>
  <c r="W53" i="3"/>
  <c r="W55" i="3"/>
  <c r="W57" i="3"/>
  <c r="T57" i="3"/>
  <c r="U57" i="3"/>
  <c r="V57" i="3"/>
  <c r="T31" i="3"/>
  <c r="U31" i="3"/>
  <c r="U32" i="3"/>
  <c r="V32" i="3"/>
  <c r="V31" i="3"/>
  <c r="W58" i="3"/>
  <c r="W30" i="3"/>
  <c r="W32" i="3"/>
  <c r="W29" i="3"/>
  <c r="W31" i="3"/>
  <c r="T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4" authorId="0" shapeId="0" xr:uid="{E2DC2275-09C6-4BF5-B306-11E5EBCB773F}">
      <text>
        <r>
          <rPr>
            <b/>
            <sz val="9"/>
            <color indexed="81"/>
            <rFont val="Tahoma"/>
            <family val="2"/>
          </rPr>
          <t>F1Q2019 Earnings Call:</t>
        </r>
        <r>
          <rPr>
            <sz val="9"/>
            <color indexed="81"/>
            <rFont val="Tahoma"/>
            <family val="2"/>
          </rPr>
          <t xml:space="preserve"> "Our sales performance came in below our expectations in the quarter, as a result of two factors:
First, </t>
        </r>
        <r>
          <rPr>
            <b/>
            <sz val="9"/>
            <color indexed="81"/>
            <rFont val="Tahoma"/>
            <family val="2"/>
          </rPr>
          <t>the month of February was the second wettest on record for the U.S. Second</t>
        </r>
        <r>
          <rPr>
            <sz val="9"/>
            <color indexed="81"/>
            <rFont val="Tahoma"/>
            <family val="2"/>
          </rPr>
          <t>,</t>
        </r>
        <r>
          <rPr>
            <b/>
            <sz val="9"/>
            <color indexed="81"/>
            <rFont val="Tahoma"/>
            <family val="2"/>
          </rPr>
          <t xml:space="preserve"> lumber prices continued to decline in the quarter, resulting in a negative impact to sales growth of approximately $200 million</t>
        </r>
        <r>
          <rPr>
            <sz val="9"/>
            <color indexed="81"/>
            <rFont val="Tahoma"/>
            <family val="2"/>
          </rPr>
          <t>. Looking at our results geographically, all of our U.S. divisions posted positive comps. Two of our 19 U.S. regions posted</t>
        </r>
        <r>
          <rPr>
            <b/>
            <sz val="9"/>
            <color indexed="81"/>
            <rFont val="Tahoma"/>
            <family val="2"/>
          </rPr>
          <t xml:space="preserve"> mid-single-digit negative comps as they faced difficult compares due to hurricane-related sales a year ago</t>
        </r>
        <r>
          <rPr>
            <sz val="9"/>
            <color indexed="81"/>
            <rFont val="Tahoma"/>
            <family val="2"/>
          </rPr>
          <t>."
"Internationally,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b/>
            <sz val="9"/>
            <color indexed="81"/>
            <rFont val="Tahoma"/>
            <family val="2"/>
          </rPr>
          <t>Online traffic growth was healthy and first quarter online sales grew 23%</t>
        </r>
        <r>
          <rPr>
            <sz val="9"/>
            <color indexed="81"/>
            <rFont val="Tahoma"/>
            <family val="2"/>
          </rPr>
          <t xml:space="preserve"> from the first quarter of 2018. "
"Versus last year, a</t>
        </r>
        <r>
          <rPr>
            <b/>
            <sz val="9"/>
            <color indexed="81"/>
            <rFont val="Tahoma"/>
            <family val="2"/>
          </rPr>
          <t xml:space="preserve"> stronger U.S. dollar negatively impacted the total sales growth by approximately $76 million</t>
        </r>
        <r>
          <rPr>
            <sz val="9"/>
            <color indexed="81"/>
            <rFont val="Tahoma"/>
            <family val="2"/>
          </rPr>
          <t xml:space="preserve"> or 0.3%." </t>
        </r>
      </text>
    </comment>
    <comment ref="R14" authorId="0" shapeId="0" xr:uid="{6590642B-6807-4E84-AB47-DDD4B493F21D}">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Total sales up 3% YoY, or $111.5B</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 xml:space="preserve">Reaffirmed on the F1Q2019 conference call on 5/21/2019…but:
F1Q2019 Earnings Call: </t>
        </r>
        <r>
          <rPr>
            <i/>
            <sz val="9"/>
            <color indexed="81"/>
            <rFont val="Tahoma"/>
            <family val="2"/>
          </rPr>
          <t xml:space="preserve"> "The building blocks of our 2019 plan are in place. Nonetheless, two factors have changed since we put their plan together. </t>
        </r>
        <r>
          <rPr>
            <b/>
            <i/>
            <sz val="9"/>
            <color indexed="81"/>
            <rFont val="Tahoma"/>
            <family val="2"/>
          </rPr>
          <t>First, there was a recent announcement that certain tariffs are increasing to 25%. We are working through the impact of these tariffs and as a result have not included them in today's guidance.</t>
        </r>
        <r>
          <rPr>
            <i/>
            <sz val="9"/>
            <color indexed="81"/>
            <rFont val="Tahoma"/>
            <family val="2"/>
          </rPr>
          <t xml:space="preserve">
Second and more immediate, is the significant deflation we are seeing in lumber prices. You will recall that our sales forecasting model does not include commodity price inflation or deflation. </t>
        </r>
        <r>
          <rPr>
            <b/>
            <i/>
            <sz val="9"/>
            <color indexed="81"/>
            <rFont val="Tahoma"/>
            <family val="2"/>
          </rPr>
          <t>If lumber prices remain at today's level, this could hamper our fiscal 2019 sales growth plan by as much as $800 million.</t>
        </r>
        <r>
          <rPr>
            <i/>
            <sz val="9"/>
            <color indexed="81"/>
            <rFont val="Tahoma"/>
            <family val="2"/>
          </rPr>
          <t xml:space="preserve">
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4" authorId="0" shapeId="0" xr:uid="{45E0CF3F-CCA1-49A7-8FCD-C851C79EFADE}">
      <text>
        <r>
          <rPr>
            <b/>
            <sz val="9"/>
            <color indexed="81"/>
            <rFont val="Tahoma"/>
            <family val="2"/>
          </rPr>
          <t xml:space="preserve">Guidance: </t>
        </r>
        <r>
          <rPr>
            <sz val="9"/>
            <color indexed="81"/>
            <rFont val="Tahoma"/>
            <family val="2"/>
          </rPr>
          <t>Total sales between 3.5% and 4.0% (approximately $114.0B to  $114.6B).</t>
        </r>
        <r>
          <rPr>
            <b/>
            <sz val="9"/>
            <color indexed="81"/>
            <rFont val="Tahoma"/>
            <family val="2"/>
          </rPr>
          <t xml:space="preserve">
Source: </t>
        </r>
        <r>
          <rPr>
            <sz val="9"/>
            <color indexed="81"/>
            <rFont val="Tahoma"/>
            <family val="2"/>
          </rPr>
          <t>Investor/Analyst Meeting 12/11/2019</t>
        </r>
        <r>
          <rPr>
            <b/>
            <sz val="9"/>
            <color indexed="81"/>
            <rFont val="Tahoma"/>
            <family val="2"/>
          </rPr>
          <t xml:space="preserve">
</t>
        </r>
        <r>
          <rPr>
            <b/>
            <i/>
            <sz val="9"/>
            <color indexed="81"/>
            <rFont val="Tahoma"/>
            <family val="2"/>
          </rPr>
          <t xml:space="preserve">
Prior Guidance:
Guidance:</t>
        </r>
        <r>
          <rPr>
            <i/>
            <sz val="9"/>
            <color indexed="81"/>
            <rFont val="Tahoma"/>
            <family val="2"/>
          </rPr>
          <t xml:space="preserve"> Total sales ranging from ~$115 billion to approximately $120 billion
</t>
        </r>
        <r>
          <rPr>
            <b/>
            <i/>
            <sz val="9"/>
            <color indexed="81"/>
            <rFont val="Tahoma"/>
            <family val="2"/>
          </rPr>
          <t>Source:</t>
        </r>
        <r>
          <rPr>
            <i/>
            <sz val="9"/>
            <color indexed="81"/>
            <rFont val="Tahoma"/>
            <family val="2"/>
          </rPr>
          <t xml:space="preserve"> F4Q2018 earnings call, 2/26/2019</t>
        </r>
      </text>
    </comment>
    <comment ref="R18" authorId="0" shapeId="0" xr:uid="{C8AE2DA5-F653-4BCB-BD24-13079DF49164}">
      <text>
        <r>
          <rPr>
            <b/>
            <sz val="9"/>
            <color indexed="81"/>
            <rFont val="Tahoma"/>
            <family val="2"/>
          </rPr>
          <t>Guidance:</t>
        </r>
        <r>
          <rPr>
            <sz val="9"/>
            <color indexed="81"/>
            <rFont val="Tahoma"/>
            <family val="2"/>
          </rPr>
          <t xml:space="preserve"> Depreciation and amortization expense of ~$2.3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25" authorId="0" shapeId="0" xr:uid="{DC03500A-CFFA-415E-BCC3-C46FCBFEAD8B}">
      <text>
        <r>
          <rPr>
            <b/>
            <sz val="9"/>
            <color indexed="81"/>
            <rFont val="Tahoma"/>
            <family val="2"/>
          </rPr>
          <t>Guidance:</t>
        </r>
        <r>
          <rPr>
            <sz val="9"/>
            <color indexed="81"/>
            <rFont val="Tahoma"/>
            <family val="2"/>
          </rPr>
          <t xml:space="preserve"> Net interest expense of ~$1.2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32" authorId="0" shapeId="0" xr:uid="{DF6AC6E6-CF62-4BDB-9DE1-43B44074A433}">
      <text>
        <r>
          <rPr>
            <b/>
            <sz val="9"/>
            <color indexed="81"/>
            <rFont val="Tahoma"/>
            <family val="2"/>
          </rPr>
          <t xml:space="preserve">Guidance: </t>
        </r>
        <r>
          <rPr>
            <sz val="9"/>
            <color indexed="81"/>
            <rFont val="Tahoma"/>
            <family val="2"/>
          </rPr>
          <t>Diluted earnings-per-share growth of approximately 3.1% to $10.03</t>
        </r>
        <r>
          <rPr>
            <b/>
            <sz val="9"/>
            <color indexed="81"/>
            <rFont val="Tahoma"/>
            <family val="2"/>
          </rPr>
          <t xml:space="preserve">
Source: </t>
        </r>
        <r>
          <rPr>
            <sz val="9"/>
            <color indexed="81"/>
            <rFont val="Tahoma"/>
            <family val="2"/>
          </rPr>
          <t xml:space="preserve">F3Q2019 earnings call, 11/19/2019 </t>
        </r>
        <r>
          <rPr>
            <b/>
            <sz val="9"/>
            <color indexed="81"/>
            <rFont val="Tahoma"/>
            <family val="2"/>
          </rPr>
          <t xml:space="preserve">
</t>
        </r>
        <r>
          <rPr>
            <b/>
            <i/>
            <sz val="9"/>
            <color indexed="81"/>
            <rFont val="Tahoma"/>
            <family val="2"/>
          </rPr>
          <t xml:space="preserve">Prior Guidance:
Guidance: </t>
        </r>
        <r>
          <rPr>
            <i/>
            <sz val="9"/>
            <color indexed="81"/>
            <rFont val="Tahoma"/>
            <family val="2"/>
          </rPr>
          <t>Diluted earnings-per-share growth of approximately 3.1% to $10.03</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t>
        </r>
        <r>
          <rPr>
            <i/>
            <sz val="9"/>
            <color indexed="81"/>
            <rFont val="Tahoma"/>
            <family val="2"/>
          </rPr>
          <t xml:space="preserve"> Diluted earnings-per-share growth of approximately 3.1% to $10.03
</t>
        </r>
        <r>
          <rPr>
            <b/>
            <i/>
            <sz val="9"/>
            <color indexed="81"/>
            <rFont val="Tahoma"/>
            <family val="2"/>
          </rPr>
          <t xml:space="preserve">Source: </t>
        </r>
        <r>
          <rPr>
            <i/>
            <sz val="9"/>
            <color indexed="81"/>
            <rFont val="Tahoma"/>
            <family val="2"/>
          </rPr>
          <t xml:space="preserve">F4Q2018 earnings call, 2/26/2019 
</t>
        </r>
        <r>
          <rPr>
            <b/>
            <i/>
            <sz val="9"/>
            <color indexed="81"/>
            <rFont val="Tahoma"/>
            <family val="2"/>
          </rPr>
          <t>Reaffirmed on the F1Q2019 conference call on 5/21/2019</t>
        </r>
      </text>
    </comment>
    <comment ref="R38" authorId="0" shapeId="0" xr:uid="{777AB5D6-4EE6-49B5-A6C8-AFAB8D177616}">
      <text>
        <r>
          <rPr>
            <b/>
            <sz val="9"/>
            <color indexed="81"/>
            <rFont val="Tahoma"/>
            <family val="2"/>
          </rPr>
          <t xml:space="preserve">Guidance: </t>
        </r>
        <r>
          <rPr>
            <sz val="9"/>
            <color indexed="81"/>
            <rFont val="Tahoma"/>
            <family val="2"/>
          </rPr>
          <t>Five net new stores</t>
        </r>
        <r>
          <rPr>
            <b/>
            <sz val="9"/>
            <color indexed="81"/>
            <rFont val="Tahoma"/>
            <family val="2"/>
          </rPr>
          <t xml:space="preserve">
Source: </t>
        </r>
        <r>
          <rPr>
            <sz val="9"/>
            <color indexed="81"/>
            <rFont val="Tahoma"/>
            <family val="2"/>
          </rPr>
          <t xml:space="preserve">F4Q2018 earnings call, 2/26/2019 </t>
        </r>
      </text>
    </comment>
    <comment ref="I40" authorId="0" shapeId="0" xr:uid="{87181218-F2A4-409B-8805-46DA527D6FC0}">
      <text>
        <r>
          <rPr>
            <sz val="9"/>
            <color indexed="81"/>
            <rFont val="Tahoma"/>
            <family val="2"/>
          </rPr>
          <t xml:space="preserve">Adjusted to calculate the Fiscal 2019 comp store sales calc against 52-weeks in 2018. 
</t>
        </r>
        <r>
          <rPr>
            <b/>
            <sz val="9"/>
            <color indexed="81"/>
            <rFont val="Tahoma"/>
            <family val="2"/>
          </rPr>
          <t>F1Q2019 Earnings Call:</t>
        </r>
        <r>
          <rPr>
            <sz val="9"/>
            <color indexed="81"/>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For fiscal 2019, we expect comp sales, as calculated on a 52-week basis, to increase by approximately 5%. We expect sales to increase by approximately 3.3%, reflecting the compare of 53 weeks last year. "</t>
        </r>
      </text>
    </comment>
    <comment ref="L41" authorId="0" shapeId="0" xr:uid="{9ED33F21-99C1-4BB9-A480-6140EB780947}">
      <text>
        <r>
          <rPr>
            <sz val="9"/>
            <color indexed="81"/>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3" authorId="0" shapeId="0" xr:uid="{A45C3F38-C947-453A-9185-223798D54950}">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Sales growth of ~3.3%</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Reaffirmed on the F1Q2019 conference call on 5/21/2019</t>
        </r>
      </text>
    </comment>
    <comment ref="W43" authorId="0" shapeId="0" xr:uid="{EE0B2FFF-F900-4CA5-A33C-7274A7B9BCAA}">
      <text>
        <r>
          <rPr>
            <b/>
            <sz val="9"/>
            <color indexed="81"/>
            <rFont val="Tahoma"/>
            <family val="2"/>
          </rPr>
          <t xml:space="preserve">Guidance: </t>
        </r>
        <r>
          <rPr>
            <sz val="9"/>
            <color indexed="81"/>
            <rFont val="Tahoma"/>
            <family val="2"/>
          </rPr>
          <t xml:space="preserve">Total sales between 3.5% and 4.0% (approximately $114.0B to  $114.6B).
</t>
        </r>
        <r>
          <rPr>
            <b/>
            <sz val="9"/>
            <color indexed="81"/>
            <rFont val="Tahoma"/>
            <family val="2"/>
          </rPr>
          <t xml:space="preserve">Source: </t>
        </r>
        <r>
          <rPr>
            <sz val="9"/>
            <color indexed="81"/>
            <rFont val="Tahoma"/>
            <family val="2"/>
          </rPr>
          <t xml:space="preserve">Investor/Analyst Meeting 12/11/2019
</t>
        </r>
        <r>
          <rPr>
            <i/>
            <sz val="9"/>
            <color indexed="81"/>
            <rFont val="Tahoma"/>
            <family val="2"/>
          </rPr>
          <t>Prior Guidance:
Guidance: Total sales ranging from ~$115 billion to approximately $120 billion
Source: F4Q2018 earnings call, 2/26/2019</t>
        </r>
      </text>
    </comment>
    <comment ref="N46" authorId="0" shapeId="0" xr:uid="{DA7C9DD2-66A4-4DFB-980B-1757F6D35AAF}">
      <text>
        <r>
          <rPr>
            <b/>
            <sz val="9"/>
            <color indexed="81"/>
            <rFont val="Tahoma"/>
            <family val="2"/>
          </rPr>
          <t>F1Q2019 Earnings Call: "</t>
        </r>
        <r>
          <rPr>
            <sz val="9"/>
            <color indexed="81"/>
            <rFont val="Tahoma"/>
            <family val="2"/>
          </rPr>
          <t xml:space="preserve">In the first quarter, comp average ticket increased 2% and comp transactions increased 5.5%. During the first quarter, </t>
        </r>
        <r>
          <rPr>
            <b/>
            <sz val="9"/>
            <color indexed="81"/>
            <rFont val="Tahoma"/>
            <family val="2"/>
          </rPr>
          <t>we continued to see significant deflationary trends in lumber that began last year.</t>
        </r>
        <r>
          <rPr>
            <sz val="9"/>
            <color indexed="81"/>
            <rFont val="Tahoma"/>
            <family val="2"/>
          </rPr>
          <t xml:space="preserve">
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Without lumber price deflation, our average ticket growth would have been closer to 3%. "
"Second, versus last year, lumber price deflation hurt our sales growth by approximately $200 million. If you ignore the weather impact of February across our business and lumber price deflation, our total company comp would have been closer to 4.5%. "</t>
        </r>
      </text>
    </comment>
    <comment ref="Q46" authorId="0" shapeId="0" xr:uid="{AF3E8CD7-3106-484E-9054-6C9A3E64016C}">
      <text>
        <r>
          <rPr>
            <sz val="9"/>
            <color indexed="81"/>
            <rFont val="Tahoma"/>
            <family val="2"/>
          </rPr>
          <t>Primary Input: If you believe the Black Friday sales will be strong (included in FQ this year vs F3 last year), continued benefit from improved customer experience, and/or an increase in lumber and copper prices is coming, than increase the comparable sales estimate.</t>
        </r>
      </text>
    </comment>
    <comment ref="R46" authorId="0" shapeId="0" xr:uid="{4834D747-7B93-4622-A295-7D9CE5BEB6FE}">
      <text>
        <r>
          <rPr>
            <b/>
            <sz val="9"/>
            <color indexed="81"/>
            <rFont val="Tahoma"/>
            <family val="2"/>
          </rPr>
          <t xml:space="preserve">Guidance: </t>
        </r>
        <r>
          <rPr>
            <sz val="9"/>
            <color indexed="81"/>
            <rFont val="Tahoma"/>
            <family val="2"/>
          </rPr>
          <t>Comparable sales growth of approximately 3.5% for the comparable 52-week period.</t>
        </r>
        <r>
          <rPr>
            <b/>
            <sz val="9"/>
            <color indexed="81"/>
            <rFont val="Tahoma"/>
            <family val="2"/>
          </rPr>
          <t xml:space="preserve">
Source: </t>
        </r>
        <r>
          <rPr>
            <sz val="9"/>
            <color indexed="81"/>
            <rFont val="Tahoma"/>
            <family val="2"/>
          </rPr>
          <t xml:space="preserve">F3Q2019 earnings call, 11/19/2019 </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Comparable sales growth of approximately 4.0% for the comparable 52-week period.
</t>
        </r>
        <r>
          <rPr>
            <b/>
            <i/>
            <sz val="9"/>
            <color indexed="81"/>
            <rFont val="Tahoma"/>
            <family val="2"/>
          </rPr>
          <t xml:space="preserve">Source: </t>
        </r>
        <r>
          <rPr>
            <i/>
            <sz val="9"/>
            <color indexed="81"/>
            <rFont val="Tahoma"/>
            <family val="2"/>
          </rPr>
          <t xml:space="preserve">F2Q2019 earnings call, 10/20/2019 </t>
        </r>
        <r>
          <rPr>
            <sz val="9"/>
            <color indexed="81"/>
            <rFont val="Tahoma"/>
            <family val="2"/>
          </rPr>
          <t xml:space="preserve">
</t>
        </r>
      </text>
    </comment>
    <comment ref="W46" authorId="0" shapeId="0" xr:uid="{8FE67043-7E17-45D1-A675-C9CF77C009F5}">
      <text>
        <r>
          <rPr>
            <b/>
            <sz val="9"/>
            <color indexed="81"/>
            <rFont val="Tahoma"/>
            <family val="2"/>
          </rPr>
          <t xml:space="preserve">Guidance: </t>
        </r>
        <r>
          <rPr>
            <sz val="9"/>
            <color indexed="81"/>
            <rFont val="Tahoma"/>
            <family val="2"/>
          </rPr>
          <t xml:space="preserve">Comp sales growth of approximately 3.5% to 4.0%.
</t>
        </r>
        <r>
          <rPr>
            <b/>
            <sz val="9"/>
            <color indexed="81"/>
            <rFont val="Tahoma"/>
            <family val="2"/>
          </rPr>
          <t>Source:</t>
        </r>
        <r>
          <rPr>
            <sz val="9"/>
            <color indexed="81"/>
            <rFont val="Tahoma"/>
            <family val="2"/>
          </rPr>
          <t xml:space="preserve"> Investor/Analyst Meeting 12/11/2019</t>
        </r>
      </text>
    </comment>
    <comment ref="N55" authorId="0" shapeId="0" xr:uid="{24AB3D13-C325-4E90-934B-DBBEBF0CD9CE}">
      <text>
        <r>
          <rPr>
            <b/>
            <sz val="9"/>
            <color indexed="81"/>
            <rFont val="Tahoma"/>
            <family val="2"/>
          </rPr>
          <t xml:space="preserve">F1Q2019 Earnings Call: </t>
        </r>
        <r>
          <rPr>
            <sz val="9"/>
            <color indexed="81"/>
            <rFont val="Tahoma"/>
            <family val="2"/>
          </rPr>
          <t>"In the first quarter, our gross margin was 34.2%, a decrease of 36 basis points from last year. The year-over-year change in our gross margin reflects the following factors.
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indexed="81"/>
            <rFont val="Tahoma"/>
            <family val="2"/>
          </rPr>
          <t xml:space="preserve">
</t>
        </r>
        <r>
          <rPr>
            <sz val="9"/>
            <color indexed="81"/>
            <rFont val="Tahoma"/>
            <family val="2"/>
          </rPr>
          <t xml:space="preserve">
</t>
        </r>
      </text>
    </comment>
    <comment ref="R55" authorId="0" shapeId="0" xr:uid="{252AD746-EC75-47E5-802D-FACB8F559A4D}">
      <text>
        <r>
          <rPr>
            <b/>
            <sz val="9"/>
            <color indexed="81"/>
            <rFont val="Tahoma"/>
            <family val="2"/>
          </rPr>
          <t>Guidance:</t>
        </r>
        <r>
          <rPr>
            <sz val="9"/>
            <color indexed="81"/>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indexed="81"/>
            <rFont val="Tahoma"/>
            <family val="2"/>
          </rPr>
          <t>Source:</t>
        </r>
        <r>
          <rPr>
            <sz val="9"/>
            <color indexed="81"/>
            <rFont val="Tahoma"/>
            <family val="2"/>
          </rPr>
          <t xml:space="preserve"> 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Gross margin of ~34%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N56" authorId="0" shapeId="0" xr:uid="{B4D77573-BA98-4DAB-8B9C-104294751A0B}">
      <text>
        <r>
          <rPr>
            <b/>
            <sz val="9"/>
            <color indexed="81"/>
            <rFont val="Tahoma"/>
            <family val="2"/>
          </rPr>
          <t>F1Q2019 Earnings Call:</t>
        </r>
        <r>
          <rPr>
            <sz val="9"/>
            <color indexed="81"/>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R57" authorId="0" shapeId="0" xr:uid="{B363599C-AFF2-4EC1-AF26-B7D11A6EDEB9}">
      <text>
        <r>
          <rPr>
            <b/>
            <sz val="9"/>
            <color indexed="81"/>
            <rFont val="Tahoma"/>
            <family val="2"/>
          </rPr>
          <t>Guidance:</t>
        </r>
        <r>
          <rPr>
            <sz val="9"/>
            <color indexed="81"/>
            <rFont val="Tahoma"/>
            <family val="2"/>
          </rPr>
          <t xml:space="preserve"> Operating margin of ~14.4%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W57" authorId="0" shapeId="0" xr:uid="{D6AFDBC0-B645-487E-9C28-699479A906E9}">
      <text>
        <r>
          <rPr>
            <b/>
            <sz val="9"/>
            <color indexed="81"/>
            <rFont val="Tahoma"/>
            <family val="2"/>
          </rPr>
          <t>Guidance:</t>
        </r>
        <r>
          <rPr>
            <sz val="9"/>
            <color indexed="81"/>
            <rFont val="Tahoma"/>
            <family val="2"/>
          </rPr>
          <t xml:space="preserve"> Operating Margin of approximately 14%.
</t>
        </r>
        <r>
          <rPr>
            <b/>
            <sz val="9"/>
            <color indexed="81"/>
            <rFont val="Tahoma"/>
            <family val="2"/>
          </rPr>
          <t xml:space="preserve">Source: </t>
        </r>
        <r>
          <rPr>
            <sz val="9"/>
            <color indexed="81"/>
            <rFont val="Tahoma"/>
            <family val="2"/>
          </rPr>
          <t>Investor/Analyst Meeting 12/11/2019</t>
        </r>
      </text>
    </comment>
    <comment ref="R58" authorId="0" shapeId="0" xr:uid="{1AC5A6FE-2E7D-4292-8526-475FE5AC6A6E}">
      <text>
        <r>
          <rPr>
            <b/>
            <sz val="9"/>
            <color indexed="81"/>
            <rFont val="Tahoma"/>
            <family val="2"/>
          </rPr>
          <t xml:space="preserve">Guidance: </t>
        </r>
        <r>
          <rPr>
            <sz val="9"/>
            <color indexed="81"/>
            <rFont val="Tahoma"/>
            <family val="2"/>
          </rPr>
          <t>For the year, we now expect our effective tax rate to be approximately 25 percent.</t>
        </r>
        <r>
          <rPr>
            <b/>
            <sz val="9"/>
            <color indexed="81"/>
            <rFont val="Tahoma"/>
            <family val="2"/>
          </rPr>
          <t xml:space="preserve">
Source: </t>
        </r>
        <r>
          <rPr>
            <sz val="9"/>
            <color indexed="81"/>
            <rFont val="Tahoma"/>
            <family val="2"/>
          </rPr>
          <t xml:space="preserve">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Tax rate of approximately 25.5%.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R65" authorId="0" shapeId="0" xr:uid="{28F3D4EE-614F-4345-B8A3-1973D3BE300C}">
      <text>
        <r>
          <rPr>
            <b/>
            <sz val="9"/>
            <color indexed="81"/>
            <rFont val="Tahoma"/>
            <family val="2"/>
          </rPr>
          <t xml:space="preserve">Guidance: </t>
        </r>
        <r>
          <rPr>
            <sz val="9"/>
            <color indexed="81"/>
            <rFont val="Tahoma"/>
            <family val="2"/>
          </rPr>
          <t>Share repurchases of ~$5.0 billion</t>
        </r>
        <r>
          <rPr>
            <b/>
            <sz val="9"/>
            <color indexed="81"/>
            <rFont val="Tahoma"/>
            <family val="2"/>
          </rPr>
          <t xml:space="preserve"> 
Source: </t>
        </r>
        <r>
          <rPr>
            <sz val="9"/>
            <color indexed="81"/>
            <rFont val="Tahoma"/>
            <family val="2"/>
          </rPr>
          <t>F2Q2019 earnings call, 10/20/2019</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Share repurchases of ~$5.0 billion 
</t>
        </r>
        <r>
          <rPr>
            <b/>
            <i/>
            <sz val="9"/>
            <color indexed="81"/>
            <rFont val="Tahoma"/>
            <family val="2"/>
          </rPr>
          <t>Source:</t>
        </r>
        <r>
          <rPr>
            <i/>
            <sz val="9"/>
            <color indexed="81"/>
            <rFont val="Tahoma"/>
            <family val="2"/>
          </rPr>
          <t xml:space="preserve"> F4Q2018 earnings call, 2/26/2019 
</t>
        </r>
        <r>
          <rPr>
            <b/>
            <i/>
            <sz val="9"/>
            <color indexed="81"/>
            <rFont val="Tahoma"/>
            <family val="2"/>
          </rPr>
          <t>Reaffirmed on the F1Q2019 conference call on 5/21/2019</t>
        </r>
      </text>
    </comment>
  </commentList>
</comments>
</file>

<file path=xl/sharedStrings.xml><?xml version="1.0" encoding="utf-8"?>
<sst xmlns="http://schemas.openxmlformats.org/spreadsheetml/2006/main" count="235" uniqueCount="130">
  <si>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</si>
  <si>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</si>
  <si>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</si>
  <si>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</si>
  <si>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</si>
  <si>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</si>
  <si>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</si>
  <si>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</si>
  <si>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</si>
  <si>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</si>
  <si>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</si>
  <si>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</si>
  <si>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</si>
  <si>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</si>
  <si>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</si>
  <si>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</si>
  <si>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</si>
  <si>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</si>
  <si>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</si>
  <si>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</si>
  <si>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</si>
  <si>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</si>
  <si>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</si>
  <si>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</si>
  <si>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</si>
  <si>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</si>
  <si>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</si>
  <si>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</si>
  <si>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</si>
  <si>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</si>
  <si>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</si>
  <si>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</si>
  <si>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</si>
  <si>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</si>
  <si>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</si>
  <si>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</si>
  <si>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</si>
  <si>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</si>
  <si>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</si>
  <si>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</si>
  <si>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</si>
  <si>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</si>
  <si>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</si>
  <si>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</si>
  <si>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</si>
  <si>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</si>
  <si>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</si>
  <si>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</si>
  <si>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</si>
  <si>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</si>
  <si>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</si>
  <si>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</si>
  <si>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</si>
  <si>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</si>
  <si>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</si>
  <si>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</si>
  <si>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</si>
  <si>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</si>
  <si>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</si>
  <si>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</si>
  <si>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</si>
  <si>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</si>
  <si>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</si>
  <si>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</si>
  <si>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</si>
  <si>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</si>
  <si>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</si>
  <si>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</si>
  <si>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</si>
  <si>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</si>
  <si>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</si>
  <si>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</si>
  <si>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</si>
  <si>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</si>
  <si>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</si>
  <si>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</si>
  <si>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</si>
  <si>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</si>
  <si>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</si>
  <si>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</si>
  <si>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</si>
  <si>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</si>
  <si>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</si>
  <si>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</si>
  <si>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</si>
  <si>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</si>
  <si>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</si>
  <si>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</si>
  <si>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</si>
  <si>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</si>
  <si>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</si>
  <si>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</si>
  <si>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</si>
  <si>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</si>
  <si>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</si>
  <si>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</si>
  <si>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</si>
  <si>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Notes &amp; Instructions</t>
  </si>
  <si>
    <r>
      <rPr>
        <b/>
        <sz val="11"/>
        <color theme="1"/>
        <rFont val="Calibri"/>
        <family val="2"/>
        <scheme val="minor"/>
      </rPr>
      <t>Property &amp; Equipment (P&amp;E):</t>
    </r>
    <r>
      <rPr>
        <sz val="11"/>
        <color theme="1"/>
        <rFont val="Calibri"/>
        <family val="2"/>
        <scheme val="minor"/>
      </rPr>
      <t xml:space="preserve"> Based on the ratio of capital expenditures to revenue, and estimates for depreciation.</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</si>
  <si>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</si>
  <si>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</si>
  <si>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The primary driver of this model is the estimate of comparable store sales. This estimate is described in the companies 10-K filing as follows:</t>
    </r>
    <r>
      <rPr>
        <sz val="11"/>
        <color theme="1"/>
        <rFont val="Calibri"/>
        <family val="2"/>
        <scheme val="minor"/>
      </rPr>
      <t xml:space="preserve"> </t>
    </r>
    <r>
      <rPr>
        <i/>
        <sz val="11"/>
        <color theme="1"/>
        <rFont val="Calibri"/>
        <family val="2"/>
        <scheme val="minor"/>
      </rPr>
      <t>"Comparable sales is a measure that highlights the performance of our existing locations and websites by measuring the change in sales for a period over the comparable, prior-period of equivalent length. Comparable sales includes sales at all locations, physical and online, open greater than 52 weeks (including remodels and relocations) and excluding closed stores. Retail stores become comparable on the Monday following their 365th day of operation. Acquisitions, digital or otherwise, are included after we own them for greater than 52 weeks (with the exception of Interline which is excluded from comparable sales). Comparable sales is intended only as supplemental information and is not a substitute for net sales presented in accordance with GAAP."</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</si>
  <si>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</si>
  <si>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Future revenue is projected using estimates for same store sales and new store openings. The resulting revenue growth rate is compared backed to management's guidance as a reasonableness check.</t>
    </r>
  </si>
  <si>
    <r>
      <rPr>
        <b/>
        <sz val="11"/>
        <color theme="1"/>
        <rFont val="Calibri"/>
        <family val="2"/>
        <scheme val="minor"/>
      </rPr>
      <t xml:space="preserve">Gross margin and SG&amp;A: </t>
    </r>
    <r>
      <rPr>
        <sz val="11"/>
        <color theme="1"/>
        <rFont val="Calibri"/>
        <family val="2"/>
        <scheme val="minor"/>
      </rPr>
      <t xml:space="preserve">Forecasted with ratio analysis based on historic results and management's guidance. </t>
    </r>
  </si>
  <si>
    <r>
      <rPr>
        <b/>
        <sz val="11"/>
        <color theme="1"/>
        <rFont val="Calibri"/>
        <family val="2"/>
        <scheme val="minor"/>
      </rPr>
      <t>Interest expense and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</si>
  <si>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</si>
  <si>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rPr>
        <b/>
        <sz val="11"/>
        <color theme="1"/>
        <rFont val="Calibri"/>
        <family val="2"/>
        <scheme val="minor"/>
      </rPr>
      <t>Other balance sheet accounts:</t>
    </r>
    <r>
      <rPr>
        <sz val="11"/>
        <color theme="1"/>
        <rFont val="Calibri"/>
        <family val="2"/>
        <scheme val="minor"/>
      </rPr>
      <t xml:space="preserve"> estimated with basic growth rates.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</si>
  <si>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</si>
  <si>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</si>
  <si>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rPr>
        <b/>
        <sz val="11"/>
        <color theme="1"/>
        <rFont val="Calibri"/>
        <family val="2"/>
        <scheme val="minor"/>
      </rPr>
      <t xml:space="preserve">Equity Section: </t>
    </r>
    <r>
      <rPr>
        <sz val="11"/>
        <color theme="1"/>
        <rFont val="Calibri"/>
        <family val="2"/>
        <scheme val="minor"/>
      </rPr>
      <t>Common stock &amp; APIC are projected using  the last reported balance and additions for any projected stock issuances, including stock issuances related to stock-based compensation. Future retained earnings is based on the projected net income from the Income Statement, less dividend distributions. Accumulated other comprehensive income will change due to changes in foreign currency, however the impact is expected to be de minimis to the overall model, so it is held flat to the last reported balance. Treasury stock increases with projected future share repurchases.</t>
    </r>
  </si>
  <si>
    <r>
      <rPr>
        <i/>
        <sz val="11"/>
        <color theme="1"/>
        <rFont val="Calibri"/>
        <family val="2"/>
        <scheme val="minor"/>
      </rPr>
      <t>To reflect the fact that not all of the individual metrics used in the comparable store sales estimate are disclosed by the company, the following steps are used to estimate the historic comparable sales inputs.</t>
    </r>
    <r>
      <rPr>
        <b/>
        <i/>
        <sz val="11"/>
        <color theme="1"/>
        <rFont val="Calibri"/>
        <family val="2"/>
        <scheme val="minor"/>
      </rPr>
      <t xml:space="preserve">
Method for using Comparable Store Sales in this model:</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Estimate the number of stores included in the comp store sales calculation as the total store count from four quarters ago. This approach is used rather than a historic average since the volume of new stores and closed stores is relatively low for the company, compared to other retail companies.
</t>
    </r>
    <r>
      <rPr>
        <b/>
        <sz val="11"/>
        <color theme="1"/>
        <rFont val="Calibri"/>
        <family val="2"/>
        <scheme val="minor"/>
      </rPr>
      <t>Step 2)</t>
    </r>
    <r>
      <rPr>
        <sz val="11"/>
        <color theme="1"/>
        <rFont val="Calibri"/>
        <family val="2"/>
        <scheme val="minor"/>
      </rPr>
      <t xml:space="preserve"> Calculate the ratio of total revenue to the total number of stores at the end of the period (theoretically should use average number of stores, however this is a simplified approach and given the relatively low level of precision with over all comp stores sales, this approach should be reasonable).
</t>
    </r>
    <r>
      <rPr>
        <b/>
        <sz val="11"/>
        <color theme="1"/>
        <rFont val="Calibri"/>
        <family val="2"/>
        <scheme val="minor"/>
      </rPr>
      <t>Step 3)</t>
    </r>
    <r>
      <rPr>
        <sz val="11"/>
        <color theme="1"/>
        <rFont val="Calibri"/>
        <family val="2"/>
        <scheme val="minor"/>
      </rPr>
      <t xml:space="preserve"> Estimate the "other" revenue which is not included in the Comp Store Sales number related to the stores which have not been open for 52 weeks or longer, and the impact of differences in the week count per year and any other one-off revenue items. The simplified approach to estimating this revenue is to take the total number of stores which were not included in Step 1, and multiply by the simple average revenue per store during the quarter.
</t>
    </r>
    <r>
      <rPr>
        <b/>
        <sz val="11"/>
        <color theme="1"/>
        <rFont val="Calibri"/>
        <family val="2"/>
        <scheme val="minor"/>
      </rPr>
      <t>Step 4)</t>
    </r>
    <r>
      <rPr>
        <sz val="11"/>
        <color theme="1"/>
        <rFont val="Calibri"/>
        <family val="2"/>
        <scheme val="minor"/>
      </rPr>
      <t xml:space="preserve"> Use the "Goal Seek" function to solve for the comparable prior period Comp Store Sales dollar amount which will make the reported total Comp Store Sales percentage equal the total revenue for the segment. This metric will be "trued-up" each quarter as an additional Comp Store Sales percentage observation is made available. 
</t>
    </r>
    <r>
      <rPr>
        <b/>
        <sz val="11"/>
        <color theme="1"/>
        <rFont val="Calibri"/>
        <family val="2"/>
        <scheme val="minor"/>
      </rPr>
      <t xml:space="preserve">Step 5) </t>
    </r>
    <r>
      <rPr>
        <sz val="11"/>
        <color theme="1"/>
        <rFont val="Calibri"/>
        <family val="2"/>
        <scheme val="minor"/>
      </rPr>
      <t xml:space="preserve">Change the comparable period from the previous year "Other" revenue so that the total segment revenue reconciles.
</t>
    </r>
    <r>
      <rPr>
        <b/>
        <sz val="11"/>
        <color theme="1"/>
        <rFont val="Calibri"/>
        <family val="2"/>
        <scheme val="minor"/>
      </rPr>
      <t>Note:</t>
    </r>
    <r>
      <rPr>
        <sz val="11"/>
        <color theme="1"/>
        <rFont val="Calibri"/>
        <family val="2"/>
        <scheme val="minor"/>
      </rPr>
      <t xml:space="preserve"> Since the company does not disclose the number of stores in the Comp Store Sales calculation, or the revenue for the other stores, there is no way to verify if the historic results for the Comp Store Sales components are accurate. Therefore, the components in the historical periods are shaded blue to indicate that these values represent estimates.</t>
    </r>
  </si>
  <si>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</si>
  <si>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</si>
  <si>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</si>
  <si>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</si>
  <si>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</si>
  <si>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t xml:space="preserve">Cash Flow Statement: </t>
    </r>
    <r>
      <rPr>
        <sz val="11"/>
        <color theme="1"/>
        <rFont val="Calibri"/>
        <family val="2"/>
        <scheme val="minor"/>
      </rPr>
      <t>Generally driven by the net income from the Income statement, adjusted for non-cash items, and changes in Balance Sheet accounts.</t>
    </r>
  </si>
  <si>
    <t>F4Q19E</t>
  </si>
  <si>
    <t>FY 2019E</t>
  </si>
  <si>
    <t>F1Q20E</t>
  </si>
  <si>
    <t>F2Q20E</t>
  </si>
  <si>
    <t>F3Q20E</t>
  </si>
  <si>
    <t>F4Q20E</t>
  </si>
  <si>
    <t>FY 2020E</t>
  </si>
  <si>
    <t>F2Q19</t>
  </si>
  <si>
    <t>F3Q19</t>
  </si>
  <si>
    <r>
      <rPr>
        <b/>
        <sz val="11"/>
        <color theme="1"/>
        <rFont val="Calibri"/>
        <family val="2"/>
        <scheme val="minor"/>
      </rPr>
      <t>Last updated:</t>
    </r>
    <r>
      <rPr>
        <sz val="11"/>
        <color theme="1"/>
        <rFont val="Calibri"/>
        <family val="2"/>
        <scheme val="minor"/>
      </rPr>
      <t xml:space="preserve"> 12/15/2019</t>
    </r>
  </si>
  <si>
    <r>
      <t xml:space="preserve">Last updated: </t>
    </r>
    <r>
      <rPr>
        <sz val="11"/>
        <color theme="1"/>
        <rFont val="Calibri"/>
        <family val="2"/>
        <scheme val="minor"/>
      </rPr>
      <t>12/15/2019</t>
    </r>
  </si>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</sst>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7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b/>
      <i/>
      <sz val="9"/>
      <color indexed="81"/>
      <name val="Tahoma"/>
      <family val="2"/>
    </font>
    <font>
      <i/>
      <sz val="9"/>
      <color indexed="81"/>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rgb="FFFFFF00"/>
        <bgColor indexed="64"/>
      </patternFill>
    </fill>
  </fills>
  <borders count="4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auto="1"/>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55">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0" borderId="0" xfId="0" applyFill="1"/>
    <xf numFmtId="0" fontId="2" fillId="10" borderId="0" xfId="0" applyFont="1" applyFill="1" applyAlignment="1">
      <alignment horizontal="right"/>
    </xf>
    <xf numFmtId="10" fontId="2" fillId="10" borderId="42" xfId="2" applyNumberFormat="1" applyFont="1" applyFill="1" applyBorder="1"/>
    <xf numFmtId="10" fontId="66" fillId="0" borderId="42" xfId="1" applyNumberFormat="1" applyFont="1" applyBorder="1"/>
    <xf numFmtId="0" fontId="66" fillId="0" borderId="0" xfId="0" applyFont="1" applyAlignment="1">
      <alignment horizontal="right"/>
    </xf>
    <xf numFmtId="225" fontId="0" fillId="0" borderId="42" xfId="0" applyNumberFormat="1" applyBorder="1"/>
    <xf numFmtId="225" fontId="0" fillId="0" borderId="40" xfId="0" applyNumberFormat="1" applyBorder="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10" fontId="2" fillId="10"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165" fontId="55" fillId="0" borderId="5" xfId="1" quotePrefix="1" applyNumberFormat="1" applyFont="1" applyBorder="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8" fillId="9" borderId="0" xfId="1" applyNumberFormat="1" applyFont="1" applyFill="1" applyAlignment="1">
      <alignment horizontal="right"/>
    </xf>
    <xf numFmtId="165" fontId="68" fillId="0" borderId="5" xfId="1" quotePrefix="1" applyNumberFormat="1" applyFont="1" applyBorder="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2" fillId="0" borderId="30" xfId="1" applyNumberFormat="1" applyFont="1" applyBorder="1" applyAlignment="1">
      <alignment horizontal="right"/>
    </xf>
    <xf numFmtId="166" fontId="62" fillId="0" borderId="0" xfId="2" applyNumberFormat="1" applyFont="1" applyAlignment="1">
      <alignment horizontal="right"/>
    </xf>
    <xf numFmtId="0" fontId="69" fillId="0" borderId="0" xfId="0" applyFont="1"/>
    <xf numFmtId="0" fontId="70" fillId="0" borderId="4" xfId="0" applyFont="1" applyBorder="1" applyAlignment="1">
      <alignment horizontal="lef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43" fontId="65" fillId="0" borderId="0" xfId="2" applyNumberFormat="1" applyFont="1" applyAlignment="1">
      <alignment horizontal="right"/>
    </xf>
    <xf numFmtId="43" fontId="61" fillId="0" borderId="5" xfId="1" quotePrefix="1" applyFont="1" applyBorder="1" applyAlignment="1">
      <alignment horizontal="right"/>
    </xf>
    <xf numFmtId="0" fontId="64" fillId="0" borderId="4"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2"/>
    </xf>
    <xf numFmtId="0" fontId="64" fillId="0" borderId="26" xfId="0" applyFont="1" applyBorder="1" applyAlignment="1">
      <alignment horizontal="left"/>
    </xf>
    <xf numFmtId="10" fontId="4" fillId="0" borderId="0" xfId="2" applyNumberFormat="1" applyFont="1" applyAlignment="1">
      <alignment horizontal="right"/>
    </xf>
    <xf numFmtId="166" fontId="62" fillId="0" borderId="5" xfId="2" quotePrefix="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43" fontId="55" fillId="0" borderId="5" xfId="1" quotePrefix="1" applyFont="1" applyBorder="1" applyAlignment="1">
      <alignment horizontal="right"/>
    </xf>
    <xf numFmtId="43" fontId="55" fillId="0" borderId="0" xfId="1" applyFont="1"/>
    <xf numFmtId="165" fontId="62" fillId="0" borderId="5" xfId="1" quotePrefix="1" applyNumberFormat="1" applyFont="1" applyBorder="1" applyAlignment="1">
      <alignment horizontal="right"/>
    </xf>
    <xf numFmtId="0" fontId="0" fillId="0" borderId="0" xfId="0" applyAlignment="1">
      <alignment horizontal="left" vertical="top" wrapText="1"/>
    </xf>
    <xf numFmtId="0" fontId="62" fillId="0" borderId="25" xfId="0" applyFont="1" applyBorder="1" applyAlignment="1">
      <alignment horizontal="left"/>
    </xf>
    <xf numFmtId="166" fontId="62" fillId="0" borderId="31" xfId="2" applyNumberFormat="1" applyFont="1" applyBorder="1" applyAlignment="1">
      <alignment horizontal="right"/>
    </xf>
    <xf numFmtId="166" fontId="62" fillId="0" borderId="32" xfId="2" quotePrefix="1" applyNumberFormat="1" applyFont="1" applyBorder="1" applyAlignment="1">
      <alignment horizontal="right"/>
    </xf>
    <xf numFmtId="166" fontId="62" fillId="9" borderId="31" xfId="2" applyNumberFormat="1" applyFont="1" applyFill="1" applyBorder="1" applyAlignment="1">
      <alignment horizontal="right"/>
    </xf>
    <xf numFmtId="0" fontId="61" fillId="0" borderId="12" xfId="0" applyFont="1" applyBorder="1" applyAlignment="1">
      <alignment horizontal="left"/>
    </xf>
    <xf numFmtId="0" fontId="64" fillId="0" borderId="13" xfId="0" applyFont="1" applyBorder="1" applyAlignment="1">
      <alignment horizontal="left"/>
    </xf>
    <xf numFmtId="43" fontId="61" fillId="0" borderId="30" xfId="1" applyFont="1" applyBorder="1" applyAlignment="1">
      <alignment horizontal="right"/>
    </xf>
    <xf numFmtId="43" fontId="61" fillId="0" borderId="29" xfId="1" quotePrefix="1" applyFont="1" applyBorder="1" applyAlignment="1">
      <alignment horizontal="right"/>
    </xf>
    <xf numFmtId="165" fontId="55" fillId="0" borderId="29" xfId="1" quotePrefix="1" applyNumberFormat="1" applyFont="1" applyBorder="1" applyAlignment="1">
      <alignment horizontal="right"/>
    </xf>
    <xf numFmtId="164" fontId="68" fillId="9" borderId="0" xfId="1" applyNumberFormat="1" applyFont="1" applyFill="1" applyAlignment="1">
      <alignment horizontal="right"/>
    </xf>
    <xf numFmtId="165" fontId="63" fillId="0" borderId="5" xfId="1" quotePrefix="1" applyNumberFormat="1" applyFont="1" applyBorder="1" applyAlignment="1">
      <alignment horizontal="right"/>
    </xf>
    <xf numFmtId="0" fontId="61" fillId="0" borderId="3" xfId="0" applyFont="1" applyBorder="1" applyAlignment="1">
      <alignment horizontal="left" vertical="top" indent="1"/>
    </xf>
    <xf numFmtId="0" fontId="61" fillId="0" borderId="6" xfId="0" applyFont="1" applyBorder="1" applyAlignment="1">
      <alignment horizontal="left" indent="2"/>
    </xf>
    <xf numFmtId="0" fontId="71" fillId="0" borderId="33" xfId="0" applyFont="1" applyBorder="1" applyAlignment="1">
      <alignment vertical="center"/>
    </xf>
    <xf numFmtId="0" fontId="0" fillId="0" borderId="29" xfId="0" applyBorder="1" applyAlignment="1">
      <alignment horizontal="left" vertical="top" wrapText="1"/>
    </xf>
    <xf numFmtId="0" fontId="0" fillId="0" borderId="0" xfId="0" applyAlignment="1">
      <alignment horizontal="left" indent="1"/>
    </xf>
    <xf numFmtId="0" fontId="53" fillId="0" borderId="0" xfId="329" applyAlignment="1">
      <alignment horizontal="left" indent="1"/>
    </xf>
    <xf numFmtId="0" fontId="0" fillId="0" borderId="5" xfId="0" applyBorder="1" applyAlignment="1">
      <alignment horizontal="left" vertical="top" wrapText="1"/>
    </xf>
    <xf numFmtId="0" fontId="0" fillId="0" borderId="43" xfId="0" applyBorder="1" applyAlignment="1">
      <alignment horizontal="left" vertical="top" wrapText="1"/>
    </xf>
    <xf numFmtId="0" fontId="0" fillId="0" borderId="43" xfId="0" applyBorder="1" applyAlignment="1">
      <alignment horizontal="left" vertical="top" wrapText="1" indent="2"/>
    </xf>
    <xf numFmtId="0" fontId="0" fillId="0" borderId="5" xfId="0" applyBorder="1" applyAlignment="1">
      <alignment horizontal="left" vertical="top" wrapText="1" indent="2"/>
    </xf>
    <xf numFmtId="0" fontId="2" fillId="0" borderId="5" xfId="0" applyFont="1" applyBorder="1" applyAlignment="1">
      <alignment horizontal="left" vertical="top" wrapText="1" indent="2"/>
    </xf>
    <xf numFmtId="0" fontId="0" fillId="0" borderId="32" xfId="0" applyBorder="1" applyAlignment="1">
      <alignment horizontal="left" vertical="top" wrapText="1"/>
    </xf>
    <xf numFmtId="0" fontId="72" fillId="0" borderId="32" xfId="0" applyFont="1" applyBorder="1" applyAlignment="1">
      <alignment horizontal="left" vertical="top" wrapText="1"/>
    </xf>
    <xf numFmtId="0" fontId="61" fillId="0" borderId="10" xfId="0" applyFont="1" applyBorder="1" applyAlignment="1">
      <alignment horizontal="left" indent="1"/>
    </xf>
    <xf numFmtId="0" fontId="72" fillId="0" borderId="43" xfId="0" applyFont="1" applyBorder="1" applyAlignment="1">
      <alignment horizontal="left" vertical="top" wrapText="1"/>
    </xf>
    <xf numFmtId="0" fontId="53" fillId="0" borderId="8" xfId="329" applyBorder="1" applyAlignment="1">
      <alignment horizontal="left" vertical="top" wrapText="1" indent="4"/>
    </xf>
    <xf numFmtId="0" fontId="2" fillId="0" borderId="43" xfId="0" applyFont="1" applyBorder="1" applyAlignment="1">
      <alignment horizontal="left" vertical="top" wrapText="1"/>
    </xf>
    <xf numFmtId="0" fontId="74" fillId="0" borderId="0" xfId="0" applyFont="1"/>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2" fillId="0" borderId="0" xfId="1" applyNumberFormat="1" applyFont="1" applyFill="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1" fillId="0" borderId="7" xfId="1" applyFont="1" applyFill="1" applyBorder="1" applyAlignment="1">
      <alignment horizontal="right"/>
    </xf>
    <xf numFmtId="7" fontId="61" fillId="0" borderId="0" xfId="1" applyNumberFormat="1" applyFont="1" applyFill="1" applyAlignment="1">
      <alignment horizontal="right"/>
    </xf>
    <xf numFmtId="164" fontId="61" fillId="0" borderId="7" xfId="1" applyNumberFormat="1" applyFont="1" applyFill="1" applyBorder="1" applyAlignment="1">
      <alignment horizontal="right"/>
    </xf>
    <xf numFmtId="0" fontId="4" fillId="0" borderId="0" xfId="0" applyFont="1" applyFill="1"/>
    <xf numFmtId="164" fontId="61" fillId="0" borderId="0" xfId="1" applyNumberFormat="1" applyFont="1" applyAlignment="1">
      <alignment horizontal="right"/>
    </xf>
    <xf numFmtId="0" fontId="55" fillId="0" borderId="0" xfId="0" applyFont="1" applyFill="1"/>
    <xf numFmtId="166" fontId="62" fillId="0" borderId="32" xfId="2" quotePrefix="1" applyNumberFormat="1" applyFont="1" applyFill="1" applyBorder="1" applyAlignment="1">
      <alignment horizontal="right"/>
    </xf>
    <xf numFmtId="166" fontId="62" fillId="0" borderId="31" xfId="2" applyNumberFormat="1" applyFont="1" applyFill="1" applyBorder="1" applyAlignment="1">
      <alignment horizontal="right"/>
    </xf>
    <xf numFmtId="0" fontId="68" fillId="0" borderId="0" xfId="0" applyFont="1" applyFill="1"/>
    <xf numFmtId="0" fontId="69" fillId="0" borderId="0" xfId="0" applyFont="1" applyFill="1"/>
    <xf numFmtId="0" fontId="61" fillId="0" borderId="0" xfId="0" applyFont="1" applyFill="1"/>
    <xf numFmtId="166" fontId="61" fillId="0" borderId="5" xfId="2" applyNumberFormat="1" applyFont="1" applyFill="1" applyBorder="1" applyAlignment="1">
      <alignment horizontal="right"/>
    </xf>
    <xf numFmtId="9" fontId="62" fillId="0" borderId="0" xfId="2" applyFont="1" applyAlignment="1">
      <alignment horizontal="right"/>
    </xf>
    <xf numFmtId="17" fontId="61" fillId="0" borderId="0" xfId="1" quotePrefix="1" applyNumberFormat="1" applyFont="1" applyFill="1" applyAlignment="1">
      <alignment horizontal="right" wrapText="1"/>
    </xf>
    <xf numFmtId="43" fontId="61" fillId="0" borderId="30" xfId="1" applyNumberFormat="1" applyFont="1" applyBorder="1" applyAlignment="1">
      <alignment horizontal="right"/>
    </xf>
    <xf numFmtId="165" fontId="61"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165" fontId="61" fillId="0" borderId="5" xfId="1" quotePrefix="1" applyNumberFormat="1" applyFont="1" applyFill="1" applyBorder="1" applyAlignment="1">
      <alignment horizontal="right"/>
    </xf>
    <xf numFmtId="9" fontId="4" fillId="0" borderId="0" xfId="1" applyNumberFormat="1" applyFont="1" applyFill="1"/>
    <xf numFmtId="5" fontId="62" fillId="0" borderId="26" xfId="1" applyNumberFormat="1" applyFont="1" applyBorder="1" applyAlignment="1">
      <alignment horizontal="right"/>
    </xf>
    <xf numFmtId="0" fontId="0" fillId="0" borderId="0" xfId="0" applyFill="1"/>
    <xf numFmtId="43" fontId="62" fillId="0" borderId="5" xfId="1" applyFont="1" applyFill="1" applyBorder="1" applyAlignment="1">
      <alignment horizontal="right"/>
    </xf>
    <xf numFmtId="43" fontId="61" fillId="0" borderId="0" xfId="1" applyFont="1" applyFill="1" applyAlignment="1">
      <alignment horizontal="right"/>
    </xf>
    <xf numFmtId="43" fontId="67" fillId="0" borderId="0" xfId="1" applyFont="1" applyAlignment="1">
      <alignment horizontal="right"/>
    </xf>
    <xf numFmtId="0" fontId="62" fillId="0" borderId="23" xfId="0" applyFont="1" applyFill="1" applyBorder="1" applyAlignment="1">
      <alignment horizontal="left"/>
    </xf>
    <xf numFmtId="5" fontId="62" fillId="0" borderId="24" xfId="1" applyNumberFormat="1" applyFont="1" applyFill="1" applyBorder="1" applyAlignment="1">
      <alignment horizontal="right"/>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2" fillId="0" borderId="3" xfId="0" applyFont="1" applyBorder="1" applyAlignment="1">
      <alignment horizontal="left" indent="3"/>
    </xf>
    <xf numFmtId="0" fontId="62" fillId="0" borderId="4" xfId="0" applyFont="1" applyBorder="1" applyAlignment="1">
      <alignment horizontal="left" indent="3"/>
    </xf>
    <xf numFmtId="0" fontId="61" fillId="9" borderId="1" xfId="0" applyFont="1" applyFill="1" applyBorder="1" applyAlignment="1">
      <alignment horizontal="left"/>
    </xf>
    <xf numFmtId="0" fontId="61" fillId="9"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0" fillId="0" borderId="4" xfId="0" applyFont="1" applyBorder="1" applyAlignment="1">
      <alignment horizontal="center" wrapText="1"/>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3" xfId="0" applyFont="1" applyBorder="1" applyAlignment="1">
      <alignment horizontal="left" indent="1"/>
    </xf>
    <xf numFmtId="0" fontId="61"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2" fillId="0" borderId="0" xfId="0" applyFont="1" applyAlignment="1">
      <alignment horizontal="center" vertical="top" wrapText="1"/>
    </xf>
    <xf numFmtId="166" fontId="62" fillId="0" borderId="5" xfId="2" quotePrefix="1" applyNumberFormat="1" applyFont="1" applyFill="1" applyBorder="1" applyAlignment="1">
      <alignment horizontal="right"/>
    </xf>
    <xf numFmtId="164" fontId="55" fillId="0" borderId="5" xfId="1" quotePrefix="1" applyNumberFormat="1" applyFont="1" applyFill="1" applyBorder="1" applyAlignment="1">
      <alignment horizontal="right"/>
    </xf>
    <xf numFmtId="164" fontId="68" fillId="0" borderId="5" xfId="1" quotePrefix="1" applyNumberFormat="1" applyFont="1" applyFill="1" applyBorder="1" applyAlignment="1">
      <alignment horizontal="right"/>
    </xf>
    <xf numFmtId="43" fontId="55" fillId="0" borderId="5" xfId="1" quotePrefix="1" applyFont="1" applyFill="1" applyBorder="1" applyAlignment="1">
      <alignment horizontal="right"/>
    </xf>
    <xf numFmtId="165" fontId="62" fillId="0" borderId="5" xfId="1" quotePrefix="1" applyNumberFormat="1" applyFont="1" applyFill="1" applyBorder="1" applyAlignment="1">
      <alignment horizontal="right"/>
    </xf>
    <xf numFmtId="226" fontId="62" fillId="0" borderId="5" xfId="2" quotePrefix="1" applyNumberFormat="1" applyFont="1" applyFill="1" applyBorder="1" applyAlignment="1">
      <alignment horizontal="right"/>
    </xf>
    <xf numFmtId="0" fontId="61" fillId="0" borderId="3" xfId="0" applyFont="1" applyFill="1" applyBorder="1" applyAlignment="1">
      <alignment horizontal="left"/>
    </xf>
    <xf numFmtId="0" fontId="61" fillId="0" borderId="4" xfId="0" applyFont="1" applyFill="1" applyBorder="1" applyAlignment="1">
      <alignment horizontal="left"/>
    </xf>
    <xf numFmtId="164" fontId="4" fillId="0" borderId="0" xfId="1" applyNumberFormat="1" applyFont="1" applyFill="1" applyAlignment="1">
      <alignment horizontal="right"/>
    </xf>
    <xf numFmtId="0" fontId="4" fillId="0" borderId="0" xfId="0" applyFont="1" applyFill="1" applyAlignment="1">
      <alignment horizontal="right"/>
    </xf>
    <xf numFmtId="0" fontId="74" fillId="0" borderId="0" xfId="0" applyFont="1" applyFill="1"/>
    <xf numFmtId="0" fontId="61" fillId="0" borderId="6" xfId="0" applyFont="1" applyFill="1" applyBorder="1" applyAlignment="1">
      <alignment horizontal="left"/>
    </xf>
    <xf numFmtId="0" fontId="61" fillId="0" borderId="10" xfId="0" applyFont="1" applyFill="1" applyBorder="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Home</a:t>
            </a:r>
            <a:r>
              <a:rPr lang="en-US" sz="1200" b="0" baseline="0"/>
              <a:t> Depot </a:t>
            </a:r>
            <a:r>
              <a:rPr lang="en-US" sz="1200" b="0"/>
              <a:t>Comp Store</a:t>
            </a:r>
            <a:r>
              <a:rPr lang="en-US" sz="1200" b="0" baseline="0"/>
              <a:t> Forecast</a:t>
            </a:r>
            <a:endParaRPr lang="en-US" sz="1200" b="0"/>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Model'!$B$37:$C$37</c:f>
              <c:strCache>
                <c:ptCount val="2"/>
                <c:pt idx="0">
                  <c:v>Store Count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Model'!$L$37,'Earnings Model'!$N$37,'Earnings Model'!$O$37,'Earnings Model'!$P$37,'Earnings Model'!$Q$37,'Earnings Model'!$S$37,'Earnings Model'!$T$37,'Earnings Model'!$U$37)</c:f>
              <c:numCache>
                <c:formatCode>_(* #,##0_);_(* \(#,##0\);_(* "-"??_);_(@_)</c:formatCode>
                <c:ptCount val="7"/>
                <c:pt idx="0">
                  <c:v>2289</c:v>
                </c:pt>
                <c:pt idx="1">
                  <c:v>2291</c:v>
                </c:pt>
                <c:pt idx="2">
                  <c:v>2290</c:v>
                </c:pt>
                <c:pt idx="3">
                  <c:v>2292</c:v>
                </c:pt>
                <c:pt idx="4">
                  <c:v>2293</c:v>
                </c:pt>
                <c:pt idx="5">
                  <c:v>2294</c:v>
                </c:pt>
                <c:pt idx="6">
                  <c:v>2295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Model'!$B$46</c:f>
              <c:strCache>
                <c:ptCount val="1"/>
                <c:pt idx="0">
                  <c:v>Comparable store sales</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Model'!$L$46,'Earnings Model'!$N$46,'Earnings Model'!$O$46,'Earnings Model'!$P$46,'Earnings Model'!$Q$46,'Earnings Model'!$S$46,'Earnings Model'!$T$46,'Earnings Model'!$U$46)</c:f>
              <c:numCache>
                <c:formatCode>0.0%</c:formatCode>
                <c:ptCount val="7"/>
                <c:pt idx="0">
                  <c:v>2.5000000000000001E-2</c:v>
                </c:pt>
                <c:pt idx="1">
                  <c:v>0.03</c:v>
                </c:pt>
                <c:pt idx="2">
                  <c:v>3.5999999999999997E-2</c:v>
                </c:pt>
                <c:pt idx="3">
                  <c:v>4.2999999999999997E-2</c:v>
                </c:pt>
                <c:pt idx="4">
                  <c:v>4.1000000000000002E-2</c:v>
                </c:pt>
                <c:pt idx="5">
                  <c:v>3.6999999999999998E-2</c:v>
                </c:pt>
                <c:pt idx="6">
                  <c:v>3.6999999999999998E-2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3</xdr:col>
      <xdr:colOff>0</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3</xdr:row>
      <xdr:rowOff>169545</xdr:rowOff>
    </xdr:from>
    <xdr:to>
      <xdr:col>5</xdr:col>
      <xdr:colOff>495300</xdr:colOff>
      <xdr:row>12</xdr:row>
      <xdr:rowOff>66675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B304-5957-4079-BD06-9B65D8CD811D}">
  <dimension ref="B2:C23"/>
  <sheetViews>
    <sheetView showGridLines="0" topLeftCell="A6" workbookViewId="0">
      <selection activeCell="B7" sqref="B7"/>
    </sheetView>
  </sheetViews>
  <sheetFormatPr defaultRowHeight="15" x14ac:dyDescent="0.25"/>
  <cols>
    <col min="1" max="1" width="1.140625" customWidth="1"/>
    <col min="2" max="2" width="152" customWidth="1"/>
  </cols>
  <sheetData>
    <row r="2" spans="2:2" ht="28.9" customHeight="1" x14ac:dyDescent="0.25">
      <c r="B2" s="167" t="s">
        <v>97</v>
      </c>
    </row>
    <row r="3" spans="2:2" ht="156" customHeight="1" x14ac:dyDescent="0.25">
      <c r="B3" s="171" t="s">
        <v>112</v>
      </c>
    </row>
    <row r="4" spans="2:2" ht="34.15" customHeight="1" x14ac:dyDescent="0.25">
      <c r="B4" s="172" t="s">
        <v>113</v>
      </c>
    </row>
    <row r="5" spans="2:2" ht="53.25" customHeight="1" x14ac:dyDescent="0.25">
      <c r="B5" s="172" t="s">
        <v>115</v>
      </c>
    </row>
    <row r="6" spans="2:2" ht="93.6" customHeight="1" x14ac:dyDescent="0.25">
      <c r="B6" s="168" t="s">
        <v>101</v>
      </c>
    </row>
    <row r="7" spans="2:2" ht="255.75" customHeight="1" x14ac:dyDescent="0.25">
      <c r="B7" s="168" t="s">
        <v>111</v>
      </c>
    </row>
    <row r="8" spans="2:2" ht="45" x14ac:dyDescent="0.25">
      <c r="B8" s="172" t="s">
        <v>102</v>
      </c>
    </row>
    <row r="9" spans="2:2" ht="30" x14ac:dyDescent="0.25">
      <c r="B9" s="171" t="s">
        <v>103</v>
      </c>
    </row>
    <row r="10" spans="2:2" x14ac:dyDescent="0.25">
      <c r="B10" s="173" t="s">
        <v>104</v>
      </c>
    </row>
    <row r="11" spans="2:2" ht="50.45" customHeight="1" x14ac:dyDescent="0.25">
      <c r="B11" s="174" t="s">
        <v>105</v>
      </c>
    </row>
    <row r="12" spans="2:2" ht="19.899999999999999" customHeight="1" x14ac:dyDescent="0.25">
      <c r="B12" s="173" t="s">
        <v>106</v>
      </c>
    </row>
    <row r="13" spans="2:2" ht="75" x14ac:dyDescent="0.25">
      <c r="B13" s="179" t="s">
        <v>114</v>
      </c>
    </row>
    <row r="14" spans="2:2" ht="17.45" customHeight="1" x14ac:dyDescent="0.25">
      <c r="B14" s="174" t="s">
        <v>98</v>
      </c>
    </row>
    <row r="15" spans="2:2" x14ac:dyDescent="0.25">
      <c r="B15" s="173" t="s">
        <v>107</v>
      </c>
    </row>
    <row r="16" spans="2:2" ht="60" x14ac:dyDescent="0.25">
      <c r="B16" s="174" t="s">
        <v>110</v>
      </c>
    </row>
    <row r="17" spans="2:3" x14ac:dyDescent="0.25">
      <c r="B17" s="177" t="s">
        <v>117</v>
      </c>
    </row>
    <row r="18" spans="2:3" s="169" customFormat="1" x14ac:dyDescent="0.25">
      <c r="B18" s="175" t="s">
        <v>108</v>
      </c>
    </row>
    <row r="19" spans="2:3" s="169" customFormat="1" x14ac:dyDescent="0.25">
      <c r="B19" s="175" t="s">
        <v>109</v>
      </c>
    </row>
    <row r="20" spans="2:3" s="169" customFormat="1" ht="195" x14ac:dyDescent="0.25">
      <c r="B20" s="181" t="s">
        <v>116</v>
      </c>
    </row>
    <row r="21" spans="2:3" s="169" customFormat="1" x14ac:dyDescent="0.25">
      <c r="B21" s="176" t="s">
        <v>99</v>
      </c>
      <c r="C21" s="170"/>
    </row>
    <row r="22" spans="2:3" s="169" customFormat="1" ht="20.45" customHeight="1" x14ac:dyDescent="0.25">
      <c r="B22" s="180" t="s">
        <v>100</v>
      </c>
    </row>
    <row r="23" spans="2:3" x14ac:dyDescent="0.25">
      <c r="B23" s="153"/>
    </row>
  </sheetData>
  <hyperlinks>
    <hyperlink ref="B22" r:id="rId1" xr:uid="{F0504665-8848-4835-9435-1726D29F578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67"/>
  <sheetViews>
    <sheetView showGridLines="0" tabSelected="1" topLeftCell="A3" zoomScaleNormal="100" workbookViewId="0">
      <pane xSplit="3" ySplit="11" topLeftCell="D14" activePane="bottomRight" state="frozen"/>
      <selection activeCell="A3" sqref="A3"/>
      <selection pane="topRight" activeCell="D3" sqref="D3"/>
      <selection pane="bottomLeft" activeCell="A14" sqref="A14"/>
      <selection pane="bottomRight" activeCell="B12" sqref="B12:C12"/>
    </sheetView>
  </sheetViews>
  <sheetFormatPr defaultColWidth="8.85546875" defaultRowHeight="15" outlineLevelRow="1" outlineLevelCol="1" x14ac:dyDescent="0.25"/>
  <cols>
    <col min="1" max="1" width="1.7109375" style="4" customWidth="1"/>
    <col min="2" max="2" width="37.85546875" style="4" customWidth="1"/>
    <col min="3" max="3" width="17" style="4" customWidth="1"/>
    <col min="4" max="5" width="11.5703125" style="3" hidden="1" customWidth="1" outlineLevel="1"/>
    <col min="6" max="7" width="11.5703125" style="11" hidden="1" customWidth="1" outlineLevel="1"/>
    <col min="8" max="8" width="11.5703125" style="11" customWidth="1" collapsed="1"/>
    <col min="9" max="10" width="11.5703125" style="3" hidden="1" customWidth="1" outlineLevel="1"/>
    <col min="11" max="12" width="11.5703125" style="11" hidden="1" customWidth="1" outlineLevel="1"/>
    <col min="13" max="13" width="11.5703125" style="11" customWidth="1" collapsed="1"/>
    <col min="14" max="15" width="11.5703125" style="3" customWidth="1" outlineLevel="1"/>
    <col min="16" max="17" width="11.5703125" style="11" customWidth="1" outlineLevel="1"/>
    <col min="18" max="18" width="11.5703125" style="11" customWidth="1"/>
    <col min="19" max="20" width="11.5703125" style="3" customWidth="1" outlineLevel="1"/>
    <col min="21" max="22" width="11.5703125" style="11" customWidth="1" outlineLevel="1"/>
    <col min="23" max="23" width="11.5703125" style="11" customWidth="1"/>
    <col min="24" max="16384" width="8.85546875" style="4"/>
  </cols>
  <sheetData>
    <row r="1" spans="1:45" ht="9" customHeight="1" x14ac:dyDescent="0.25">
      <c r="B1" s="182" t="s">
        <v>14</v>
      </c>
    </row>
    <row r="2" spans="1:45" ht="45" customHeight="1" x14ac:dyDescent="0.25">
      <c r="B2" s="222" t="s">
        <v>13</v>
      </c>
      <c r="C2" s="223"/>
      <c r="F2" s="12"/>
    </row>
    <row r="3" spans="1:45" x14ac:dyDescent="0.25">
      <c r="B3" s="226" t="s">
        <v>129</v>
      </c>
      <c r="C3" s="227"/>
    </row>
    <row r="4" spans="1:45" s="191" customFormat="1" hidden="1" x14ac:dyDescent="0.25">
      <c r="B4" s="246"/>
      <c r="C4" s="247"/>
      <c r="D4" s="248"/>
      <c r="E4" s="248"/>
      <c r="F4" s="249"/>
      <c r="G4" s="249"/>
      <c r="H4" s="249"/>
      <c r="I4" s="248"/>
      <c r="J4" s="248"/>
      <c r="K4" s="249"/>
      <c r="L4" s="249"/>
      <c r="M4" s="249"/>
      <c r="N4" s="248"/>
      <c r="O4" s="248"/>
      <c r="P4" s="249"/>
      <c r="Q4" s="249"/>
      <c r="R4" s="249"/>
      <c r="S4" s="248"/>
      <c r="T4" s="248"/>
      <c r="U4" s="249"/>
      <c r="V4" s="249"/>
      <c r="W4" s="249"/>
      <c r="AS4" s="250"/>
    </row>
    <row r="5" spans="1:45" s="191" customFormat="1" hidden="1" x14ac:dyDescent="0.25">
      <c r="B5" s="251"/>
      <c r="C5" s="252"/>
      <c r="D5" s="253"/>
      <c r="E5" s="253"/>
      <c r="F5" s="253"/>
      <c r="G5" s="253"/>
      <c r="H5" s="254"/>
      <c r="I5" s="254"/>
      <c r="J5" s="254"/>
      <c r="K5" s="254"/>
      <c r="L5" s="254"/>
      <c r="M5" s="254"/>
      <c r="N5" s="254"/>
      <c r="O5" s="254"/>
      <c r="P5" s="254"/>
      <c r="Q5" s="254"/>
      <c r="R5" s="254"/>
      <c r="S5" s="254"/>
      <c r="T5" s="254"/>
      <c r="U5" s="254"/>
      <c r="V5" s="254"/>
      <c r="W5" s="254"/>
    </row>
    <row r="6" spans="1:45" ht="14.45" hidden="1" customHeight="1" x14ac:dyDescent="0.25">
      <c r="B6" s="74"/>
      <c r="C6" s="75"/>
      <c r="D6" s="13"/>
      <c r="E6" s="13"/>
      <c r="F6" s="13"/>
      <c r="G6" s="13"/>
      <c r="H6" s="15"/>
      <c r="I6" s="13"/>
      <c r="J6" s="13"/>
      <c r="K6" s="13"/>
      <c r="L6" s="13"/>
      <c r="M6" s="13"/>
      <c r="N6" s="13"/>
      <c r="O6" s="77"/>
      <c r="P6" s="76"/>
      <c r="Q6" s="13"/>
      <c r="R6" s="77"/>
      <c r="S6" s="13"/>
      <c r="T6" s="13"/>
      <c r="U6" s="13"/>
      <c r="V6" s="13"/>
      <c r="W6" s="13"/>
    </row>
    <row r="7" spans="1:45" ht="14.45" hidden="1" customHeight="1" x14ac:dyDescent="0.25">
      <c r="B7" s="62"/>
      <c r="C7" s="71"/>
      <c r="D7" s="39"/>
      <c r="E7" s="39"/>
      <c r="F7" s="39"/>
      <c r="G7" s="39"/>
      <c r="H7" s="39"/>
      <c r="I7" s="39"/>
      <c r="J7" s="39"/>
      <c r="K7" s="39"/>
      <c r="L7" s="39"/>
      <c r="M7" s="39"/>
      <c r="N7" s="39"/>
      <c r="O7" s="77"/>
      <c r="P7" s="76"/>
      <c r="Q7" s="39"/>
      <c r="R7" s="77"/>
      <c r="S7" s="39"/>
      <c r="T7" s="39"/>
      <c r="U7" s="39"/>
      <c r="V7" s="39"/>
      <c r="W7" s="39"/>
    </row>
    <row r="8" spans="1:45" ht="14.45" hidden="1" customHeight="1" x14ac:dyDescent="0.25">
      <c r="B8" s="62"/>
      <c r="C8" s="73"/>
      <c r="D8" s="39"/>
      <c r="E8" s="39"/>
      <c r="F8" s="39"/>
      <c r="G8" s="39"/>
      <c r="H8" s="39"/>
      <c r="I8" s="39"/>
      <c r="J8" s="72"/>
      <c r="K8" s="39"/>
      <c r="L8" s="39"/>
      <c r="M8" s="39"/>
      <c r="N8" s="26"/>
      <c r="O8" s="77"/>
      <c r="P8" s="100"/>
      <c r="Q8" s="100"/>
      <c r="R8" s="26"/>
      <c r="S8" s="100"/>
      <c r="T8" s="100"/>
      <c r="U8" s="44"/>
      <c r="V8" s="26"/>
      <c r="W8" s="26"/>
    </row>
    <row r="9" spans="1:45" ht="14.45" hidden="1" customHeight="1" x14ac:dyDescent="0.25">
      <c r="B9" s="154"/>
      <c r="C9" s="207"/>
      <c r="D9" s="44"/>
      <c r="E9" s="44"/>
      <c r="F9" s="44"/>
      <c r="G9" s="44"/>
      <c r="H9" s="44"/>
      <c r="I9" s="44"/>
      <c r="J9" s="39"/>
      <c r="K9" s="39"/>
      <c r="L9" s="39"/>
      <c r="M9" s="44"/>
      <c r="N9" s="201"/>
      <c r="O9" s="26"/>
      <c r="P9" s="101"/>
      <c r="Q9" s="102"/>
      <c r="R9" s="39"/>
      <c r="S9" s="78"/>
      <c r="T9" s="39"/>
      <c r="U9" s="39"/>
      <c r="V9" s="39"/>
      <c r="W9" s="44"/>
    </row>
    <row r="10" spans="1:45" ht="14.45" hidden="1" customHeight="1" x14ac:dyDescent="0.25">
      <c r="B10" s="212"/>
      <c r="C10" s="213"/>
      <c r="D10" s="44"/>
      <c r="E10" s="44"/>
      <c r="F10" s="44"/>
      <c r="G10" s="44"/>
      <c r="H10" s="44"/>
      <c r="I10" s="44"/>
      <c r="J10" s="39"/>
      <c r="K10" s="39"/>
      <c r="L10" s="39"/>
      <c r="M10" s="44"/>
      <c r="N10" s="201"/>
      <c r="O10" s="26"/>
      <c r="P10" s="101"/>
      <c r="Q10" s="26"/>
      <c r="R10" s="26"/>
      <c r="S10" s="26"/>
      <c r="T10" s="26"/>
      <c r="U10" s="26"/>
      <c r="V10" s="26"/>
      <c r="W10" s="192"/>
    </row>
    <row r="11" spans="1:45" ht="14.25" customHeight="1" x14ac:dyDescent="0.25">
      <c r="B11" s="182" t="s">
        <v>14</v>
      </c>
      <c r="D11" s="17"/>
      <c r="E11" s="17"/>
      <c r="F11" s="17"/>
      <c r="G11" s="17"/>
      <c r="H11" s="17"/>
      <c r="I11" s="17"/>
      <c r="J11" s="17"/>
      <c r="K11" s="17"/>
      <c r="L11" s="17"/>
      <c r="M11" s="17"/>
      <c r="N11" s="110"/>
      <c r="O11" s="206"/>
      <c r="P11" s="206"/>
      <c r="Q11" s="17"/>
      <c r="R11" s="14"/>
      <c r="S11" s="17"/>
      <c r="T11" s="17"/>
      <c r="U11" s="17"/>
      <c r="V11" s="13"/>
      <c r="W11" s="13"/>
    </row>
    <row r="12" spans="1:45" ht="15.75" x14ac:dyDescent="0.25">
      <c r="A12" s="232"/>
      <c r="B12" s="218" t="s">
        <v>58</v>
      </c>
      <c r="C12" s="219"/>
      <c r="D12" s="23" t="s">
        <v>69</v>
      </c>
      <c r="E12" s="23" t="s">
        <v>70</v>
      </c>
      <c r="F12" s="23" t="s">
        <v>71</v>
      </c>
      <c r="G12" s="23" t="s">
        <v>72</v>
      </c>
      <c r="H12" s="66" t="s">
        <v>72</v>
      </c>
      <c r="I12" s="23" t="s">
        <v>68</v>
      </c>
      <c r="J12" s="23" t="s">
        <v>67</v>
      </c>
      <c r="K12" s="23" t="s">
        <v>66</v>
      </c>
      <c r="L12" s="23" t="s">
        <v>65</v>
      </c>
      <c r="M12" s="66" t="s">
        <v>65</v>
      </c>
      <c r="N12" s="23" t="s">
        <v>73</v>
      </c>
      <c r="O12" s="23" t="s">
        <v>74</v>
      </c>
      <c r="P12" s="23" t="s">
        <v>75</v>
      </c>
      <c r="Q12" s="25" t="s">
        <v>76</v>
      </c>
      <c r="R12" s="68" t="s">
        <v>76</v>
      </c>
      <c r="S12" s="25" t="s">
        <v>77</v>
      </c>
      <c r="T12" s="25" t="s">
        <v>78</v>
      </c>
      <c r="U12" s="25" t="s">
        <v>79</v>
      </c>
      <c r="V12" s="25" t="s">
        <v>80</v>
      </c>
      <c r="W12" s="68" t="s">
        <v>80</v>
      </c>
    </row>
    <row r="13" spans="1:45" ht="17.45" customHeight="1" x14ac:dyDescent="0.4">
      <c r="A13" s="232"/>
      <c r="B13" s="228" t="s">
        <v>3</v>
      </c>
      <c r="C13" s="229"/>
      <c r="D13" s="24" t="s">
        <v>39</v>
      </c>
      <c r="E13" s="24" t="s">
        <v>40</v>
      </c>
      <c r="F13" s="24" t="s">
        <v>41</v>
      </c>
      <c r="G13" s="24" t="s">
        <v>42</v>
      </c>
      <c r="H13" s="67" t="s">
        <v>43</v>
      </c>
      <c r="I13" s="24" t="s">
        <v>44</v>
      </c>
      <c r="J13" s="24" t="s">
        <v>45</v>
      </c>
      <c r="K13" s="24" t="s">
        <v>46</v>
      </c>
      <c r="L13" s="24" t="s">
        <v>47</v>
      </c>
      <c r="M13" s="67" t="s">
        <v>48</v>
      </c>
      <c r="N13" s="24" t="s">
        <v>49</v>
      </c>
      <c r="O13" s="24" t="s">
        <v>125</v>
      </c>
      <c r="P13" s="24" t="s">
        <v>126</v>
      </c>
      <c r="Q13" s="22" t="s">
        <v>118</v>
      </c>
      <c r="R13" s="69" t="s">
        <v>119</v>
      </c>
      <c r="S13" s="22" t="s">
        <v>120</v>
      </c>
      <c r="T13" s="22" t="s">
        <v>121</v>
      </c>
      <c r="U13" s="22" t="s">
        <v>122</v>
      </c>
      <c r="V13" s="22" t="s">
        <v>123</v>
      </c>
      <c r="W13" s="69" t="s">
        <v>124</v>
      </c>
    </row>
    <row r="14" spans="1:45" x14ac:dyDescent="0.25">
      <c r="B14" s="216" t="s">
        <v>59</v>
      </c>
      <c r="C14" s="217"/>
      <c r="D14" s="26">
        <v>23887</v>
      </c>
      <c r="E14" s="26">
        <v>28108</v>
      </c>
      <c r="F14" s="26">
        <v>25026</v>
      </c>
      <c r="G14" s="26">
        <v>23883</v>
      </c>
      <c r="H14" s="27">
        <f>SUM(D14:G14)</f>
        <v>100904</v>
      </c>
      <c r="I14" s="26">
        <v>24947</v>
      </c>
      <c r="J14" s="26">
        <v>30463</v>
      </c>
      <c r="K14" s="26">
        <v>26302</v>
      </c>
      <c r="L14" s="26">
        <v>26491</v>
      </c>
      <c r="M14" s="27">
        <f>SUM(I14:L14)</f>
        <v>108203</v>
      </c>
      <c r="N14" s="183">
        <v>26381</v>
      </c>
      <c r="O14" s="183">
        <v>30839</v>
      </c>
      <c r="P14" s="183">
        <v>27223</v>
      </c>
      <c r="Q14" s="183">
        <f t="shared" ref="Q14" si="0">+Q42</f>
        <v>25758.434939403975</v>
      </c>
      <c r="R14" s="203">
        <f>SUM(N14:Q14)</f>
        <v>110201.43493940397</v>
      </c>
      <c r="S14" s="183">
        <f t="shared" ref="S14:V14" si="1">+S42</f>
        <v>27513.257467723579</v>
      </c>
      <c r="T14" s="183">
        <f t="shared" si="1"/>
        <v>32036.787942238097</v>
      </c>
      <c r="U14" s="183">
        <f t="shared" si="1"/>
        <v>28283.688427487912</v>
      </c>
      <c r="V14" s="183">
        <f t="shared" si="1"/>
        <v>26685.491095508085</v>
      </c>
      <c r="W14" s="203">
        <f>SUM(S14:V14)</f>
        <v>114519.22493295767</v>
      </c>
    </row>
    <row r="15" spans="1:45" ht="17.25" outlineLevel="1" x14ac:dyDescent="0.4">
      <c r="B15" s="235" t="s">
        <v>50</v>
      </c>
      <c r="C15" s="236"/>
      <c r="D15" s="30">
        <v>15733</v>
      </c>
      <c r="E15" s="30">
        <v>18647</v>
      </c>
      <c r="F15" s="30">
        <v>16378</v>
      </c>
      <c r="G15" s="30">
        <v>15790</v>
      </c>
      <c r="H15" s="31">
        <f>SUM(D15:G15)</f>
        <v>66548</v>
      </c>
      <c r="I15" s="30">
        <v>16330</v>
      </c>
      <c r="J15" s="30">
        <v>20098</v>
      </c>
      <c r="K15" s="30">
        <v>17151</v>
      </c>
      <c r="L15" s="30">
        <v>17464</v>
      </c>
      <c r="M15" s="31">
        <f>SUM(I15:L15)</f>
        <v>71043</v>
      </c>
      <c r="N15" s="184">
        <v>17364</v>
      </c>
      <c r="O15" s="184">
        <v>20407</v>
      </c>
      <c r="P15" s="184">
        <v>17836</v>
      </c>
      <c r="Q15" s="30">
        <f>(1-Q55)*Q14</f>
        <v>17515.735758794701</v>
      </c>
      <c r="R15" s="31">
        <f>SUM(N15:Q15)</f>
        <v>73122.735758794704</v>
      </c>
      <c r="S15" s="30">
        <f>(1-S55)*S14</f>
        <v>18158.749928697558</v>
      </c>
      <c r="T15" s="30">
        <f>(1-T55)*T14</f>
        <v>21272.427193646094</v>
      </c>
      <c r="U15" s="30">
        <f>(1-U55)*U14</f>
        <v>18565.413083803065</v>
      </c>
      <c r="V15" s="30">
        <f>(1-V55)*V14</f>
        <v>18146.133944945497</v>
      </c>
      <c r="W15" s="31">
        <f>SUM(S15:V15)</f>
        <v>76142.724151092218</v>
      </c>
    </row>
    <row r="16" spans="1:45" s="20" customFormat="1" outlineLevel="1" x14ac:dyDescent="0.25">
      <c r="B16" s="60" t="s">
        <v>38</v>
      </c>
      <c r="C16" s="63"/>
      <c r="D16" s="34">
        <f t="shared" ref="D16:K16" si="2">+D14-D15</f>
        <v>8154</v>
      </c>
      <c r="E16" s="34">
        <f t="shared" si="2"/>
        <v>9461</v>
      </c>
      <c r="F16" s="34">
        <f t="shared" si="2"/>
        <v>8648</v>
      </c>
      <c r="G16" s="34">
        <f t="shared" si="2"/>
        <v>8093</v>
      </c>
      <c r="H16" s="35">
        <f t="shared" si="2"/>
        <v>34356</v>
      </c>
      <c r="I16" s="34">
        <f t="shared" si="2"/>
        <v>8617</v>
      </c>
      <c r="J16" s="34">
        <f t="shared" si="2"/>
        <v>10365</v>
      </c>
      <c r="K16" s="34">
        <f t="shared" si="2"/>
        <v>9151</v>
      </c>
      <c r="L16" s="34">
        <f>+L14-L15</f>
        <v>9027</v>
      </c>
      <c r="M16" s="35">
        <f t="shared" ref="M16:W16" si="3">+M14-M15</f>
        <v>37160</v>
      </c>
      <c r="N16" s="185">
        <f>+N14-N15</f>
        <v>9017</v>
      </c>
      <c r="O16" s="185">
        <f t="shared" si="3"/>
        <v>10432</v>
      </c>
      <c r="P16" s="185">
        <f t="shared" si="3"/>
        <v>9387</v>
      </c>
      <c r="Q16" s="34">
        <f t="shared" si="3"/>
        <v>8242.6991806092738</v>
      </c>
      <c r="R16" s="35">
        <f t="shared" si="3"/>
        <v>37078.69918060927</v>
      </c>
      <c r="S16" s="34">
        <f t="shared" si="3"/>
        <v>9354.5075390260208</v>
      </c>
      <c r="T16" s="34">
        <f t="shared" si="3"/>
        <v>10764.360748592004</v>
      </c>
      <c r="U16" s="34">
        <f t="shared" si="3"/>
        <v>9718.275343684847</v>
      </c>
      <c r="V16" s="34">
        <f t="shared" si="3"/>
        <v>8539.3571505625878</v>
      </c>
      <c r="W16" s="35">
        <f t="shared" si="3"/>
        <v>38376.500781865456</v>
      </c>
    </row>
    <row r="17" spans="1:23" ht="17.25" customHeight="1" outlineLevel="1" x14ac:dyDescent="0.25">
      <c r="B17" s="118" t="s">
        <v>60</v>
      </c>
      <c r="C17" s="28"/>
      <c r="D17" s="26">
        <v>4361</v>
      </c>
      <c r="E17" s="26">
        <v>4549</v>
      </c>
      <c r="F17" s="26">
        <v>4514</v>
      </c>
      <c r="G17" s="26">
        <v>4440</v>
      </c>
      <c r="H17" s="27">
        <f>SUM(D17:G17)</f>
        <v>17864</v>
      </c>
      <c r="I17" s="26">
        <v>4779</v>
      </c>
      <c r="J17" s="26">
        <v>5004</v>
      </c>
      <c r="K17" s="26">
        <v>4808</v>
      </c>
      <c r="L17" s="26">
        <v>4922</v>
      </c>
      <c r="M17" s="27">
        <f>SUM(I17:L17)</f>
        <v>19513</v>
      </c>
      <c r="N17" s="183">
        <v>4940</v>
      </c>
      <c r="O17" s="183">
        <v>5044</v>
      </c>
      <c r="P17" s="183">
        <v>4942</v>
      </c>
      <c r="Q17" s="26">
        <f>Q14*Q56</f>
        <v>4610.7598541533116</v>
      </c>
      <c r="R17" s="27">
        <f>SUM(N17:Q17)</f>
        <v>19536.759854153312</v>
      </c>
      <c r="S17" s="26">
        <f>S14*S56</f>
        <v>5073.0709037389688</v>
      </c>
      <c r="T17" s="26">
        <f>T14*T56</f>
        <v>5148.3254664992191</v>
      </c>
      <c r="U17" s="26">
        <f>U14*U56</f>
        <v>5034.4965400928477</v>
      </c>
      <c r="V17" s="26">
        <f>V14*V56</f>
        <v>4856.7593793824717</v>
      </c>
      <c r="W17" s="27">
        <f>SUM(S17:V17)</f>
        <v>20112.652289713507</v>
      </c>
    </row>
    <row r="18" spans="1:23" outlineLevel="1" x14ac:dyDescent="0.25">
      <c r="B18" s="118" t="s">
        <v>51</v>
      </c>
      <c r="C18" s="28"/>
      <c r="D18" s="26">
        <v>444</v>
      </c>
      <c r="E18" s="26">
        <v>449</v>
      </c>
      <c r="F18" s="26">
        <v>454</v>
      </c>
      <c r="G18" s="26">
        <v>464</v>
      </c>
      <c r="H18" s="27">
        <f t="shared" ref="H18" si="4">SUM(D18:G18)</f>
        <v>1811</v>
      </c>
      <c r="I18" s="26">
        <v>457</v>
      </c>
      <c r="J18" s="26">
        <v>460</v>
      </c>
      <c r="K18" s="26">
        <v>473</v>
      </c>
      <c r="L18" s="26">
        <v>480</v>
      </c>
      <c r="M18" s="27">
        <f t="shared" ref="M18" si="5">SUM(I18:L18)</f>
        <v>1870</v>
      </c>
      <c r="N18" s="183">
        <v>480</v>
      </c>
      <c r="O18" s="183">
        <v>492</v>
      </c>
      <c r="P18" s="183">
        <v>498</v>
      </c>
      <c r="Q18" s="49">
        <v>595.12552665017051</v>
      </c>
      <c r="R18" s="203">
        <f t="shared" ref="R18" si="6">SUM(N18:Q18)</f>
        <v>2065.1255266501703</v>
      </c>
      <c r="S18" s="49">
        <v>581.61661609880105</v>
      </c>
      <c r="T18" s="49">
        <v>594.43853387101524</v>
      </c>
      <c r="U18" s="49">
        <v>608.87062501134471</v>
      </c>
      <c r="V18" s="49">
        <v>605.6706394636094</v>
      </c>
      <c r="W18" s="27">
        <f t="shared" ref="W18" si="7">SUM(S18:V18)</f>
        <v>2390.5964144447703</v>
      </c>
    </row>
    <row r="19" spans="1:23" ht="17.25" customHeight="1" outlineLevel="1" x14ac:dyDescent="0.4">
      <c r="B19" s="118" t="s">
        <v>61</v>
      </c>
      <c r="C19" s="28"/>
      <c r="D19" s="30">
        <v>0</v>
      </c>
      <c r="E19" s="30">
        <v>0</v>
      </c>
      <c r="F19" s="30">
        <v>0</v>
      </c>
      <c r="G19" s="30">
        <v>0</v>
      </c>
      <c r="H19" s="31">
        <f t="shared" ref="H19" si="8">SUM(D19:G19)</f>
        <v>0</v>
      </c>
      <c r="I19" s="30">
        <v>0</v>
      </c>
      <c r="J19" s="30">
        <v>0</v>
      </c>
      <c r="K19" s="30">
        <v>0</v>
      </c>
      <c r="L19" s="30">
        <v>247</v>
      </c>
      <c r="M19" s="31">
        <f t="shared" ref="M19" si="9">SUM(I19:L19)</f>
        <v>247</v>
      </c>
      <c r="N19" s="184">
        <v>0</v>
      </c>
      <c r="O19" s="184">
        <v>0</v>
      </c>
      <c r="P19" s="184">
        <v>0</v>
      </c>
      <c r="Q19" s="48">
        <v>0</v>
      </c>
      <c r="R19" s="31">
        <f t="shared" ref="R19" si="10">SUM(N19:Q19)</f>
        <v>0</v>
      </c>
      <c r="S19" s="48">
        <v>0</v>
      </c>
      <c r="T19" s="48">
        <v>0</v>
      </c>
      <c r="U19" s="48">
        <v>0</v>
      </c>
      <c r="V19" s="48">
        <v>0</v>
      </c>
      <c r="W19" s="31">
        <f t="shared" ref="W19" si="11">SUM(S19:V19)</f>
        <v>0</v>
      </c>
    </row>
    <row r="20" spans="1:23" s="33" customFormat="1" ht="17.25" customHeight="1" x14ac:dyDescent="0.4">
      <c r="B20" s="119" t="s">
        <v>10</v>
      </c>
      <c r="C20" s="32"/>
      <c r="D20" s="148">
        <f t="shared" ref="D20:K20" si="12">SUM(D17:D19)</f>
        <v>4805</v>
      </c>
      <c r="E20" s="148">
        <f t="shared" si="12"/>
        <v>4998</v>
      </c>
      <c r="F20" s="148">
        <f t="shared" si="12"/>
        <v>4968</v>
      </c>
      <c r="G20" s="148">
        <f t="shared" si="12"/>
        <v>4904</v>
      </c>
      <c r="H20" s="149">
        <f t="shared" si="12"/>
        <v>19675</v>
      </c>
      <c r="I20" s="148">
        <f t="shared" si="12"/>
        <v>5236</v>
      </c>
      <c r="J20" s="148">
        <f t="shared" si="12"/>
        <v>5464</v>
      </c>
      <c r="K20" s="148">
        <f t="shared" si="12"/>
        <v>5281</v>
      </c>
      <c r="L20" s="148">
        <f>SUM(L17:L19)</f>
        <v>5649</v>
      </c>
      <c r="M20" s="149">
        <f t="shared" ref="M20:W20" si="13">SUM(M17:M19)</f>
        <v>21630</v>
      </c>
      <c r="N20" s="186">
        <f>SUM(N17:N19)</f>
        <v>5420</v>
      </c>
      <c r="O20" s="186">
        <f t="shared" si="13"/>
        <v>5536</v>
      </c>
      <c r="P20" s="186">
        <f t="shared" si="13"/>
        <v>5440</v>
      </c>
      <c r="Q20" s="148">
        <f t="shared" si="13"/>
        <v>5205.8853808034819</v>
      </c>
      <c r="R20" s="149">
        <f t="shared" si="13"/>
        <v>21601.885380803484</v>
      </c>
      <c r="S20" s="148">
        <f t="shared" si="13"/>
        <v>5654.6875198377702</v>
      </c>
      <c r="T20" s="148">
        <f t="shared" si="13"/>
        <v>5742.7640003702345</v>
      </c>
      <c r="U20" s="148">
        <f t="shared" si="13"/>
        <v>5643.3671651041923</v>
      </c>
      <c r="V20" s="148">
        <f t="shared" si="13"/>
        <v>5462.4300188460811</v>
      </c>
      <c r="W20" s="149">
        <f t="shared" si="13"/>
        <v>22503.248704158279</v>
      </c>
    </row>
    <row r="21" spans="1:23" x14ac:dyDescent="0.25">
      <c r="B21" s="62" t="s">
        <v>17</v>
      </c>
      <c r="C21" s="29"/>
      <c r="D21" s="34">
        <f t="shared" ref="D21:K21" si="14">D16-D20</f>
        <v>3349</v>
      </c>
      <c r="E21" s="34">
        <f t="shared" si="14"/>
        <v>4463</v>
      </c>
      <c r="F21" s="34">
        <f t="shared" si="14"/>
        <v>3680</v>
      </c>
      <c r="G21" s="34">
        <f t="shared" si="14"/>
        <v>3189</v>
      </c>
      <c r="H21" s="35">
        <f t="shared" si="14"/>
        <v>14681</v>
      </c>
      <c r="I21" s="34">
        <f t="shared" si="14"/>
        <v>3381</v>
      </c>
      <c r="J21" s="34">
        <f t="shared" si="14"/>
        <v>4901</v>
      </c>
      <c r="K21" s="34">
        <f t="shared" si="14"/>
        <v>3870</v>
      </c>
      <c r="L21" s="34">
        <f>L16-L20</f>
        <v>3378</v>
      </c>
      <c r="M21" s="35">
        <f t="shared" ref="M21:W21" si="15">M16-M20</f>
        <v>15530</v>
      </c>
      <c r="N21" s="185">
        <f>N16-N20</f>
        <v>3597</v>
      </c>
      <c r="O21" s="185">
        <f t="shared" si="15"/>
        <v>4896</v>
      </c>
      <c r="P21" s="185">
        <f t="shared" si="15"/>
        <v>3947</v>
      </c>
      <c r="Q21" s="34">
        <f t="shared" si="15"/>
        <v>3036.8137998057919</v>
      </c>
      <c r="R21" s="35">
        <f t="shared" si="15"/>
        <v>15476.813799805786</v>
      </c>
      <c r="S21" s="34">
        <f t="shared" si="15"/>
        <v>3699.8200191882506</v>
      </c>
      <c r="T21" s="34">
        <f t="shared" si="15"/>
        <v>5021.5967482217693</v>
      </c>
      <c r="U21" s="34">
        <f t="shared" si="15"/>
        <v>4074.9081785806547</v>
      </c>
      <c r="V21" s="34">
        <f t="shared" si="15"/>
        <v>3076.9271317165067</v>
      </c>
      <c r="W21" s="35">
        <f t="shared" si="15"/>
        <v>15873.252077707177</v>
      </c>
    </row>
    <row r="22" spans="1:23" x14ac:dyDescent="0.25">
      <c r="B22" s="64" t="s">
        <v>62</v>
      </c>
      <c r="C22" s="28"/>
      <c r="D22" s="26">
        <v>-13</v>
      </c>
      <c r="E22" s="26">
        <v>-16</v>
      </c>
      <c r="F22" s="26">
        <v>-22</v>
      </c>
      <c r="G22" s="26">
        <v>-23</v>
      </c>
      <c r="H22" s="27">
        <f t="shared" ref="H22" si="16">SUM(D22:G22)</f>
        <v>-74</v>
      </c>
      <c r="I22" s="26">
        <v>-22</v>
      </c>
      <c r="J22" s="26">
        <v>-26</v>
      </c>
      <c r="K22" s="26">
        <v>-25</v>
      </c>
      <c r="L22" s="26">
        <v>-20</v>
      </c>
      <c r="M22" s="27">
        <f t="shared" ref="M22" si="17">SUM(I22:L22)</f>
        <v>-93</v>
      </c>
      <c r="N22" s="183">
        <v>-15</v>
      </c>
      <c r="O22" s="183">
        <v>-19</v>
      </c>
      <c r="P22" s="183">
        <v>-22</v>
      </c>
      <c r="Q22" s="49">
        <v>-21.931000000000004</v>
      </c>
      <c r="R22" s="27">
        <f t="shared" ref="R22" si="18">SUM(N22:Q22)</f>
        <v>-77.931000000000012</v>
      </c>
      <c r="S22" s="49">
        <v>-11.260064608549667</v>
      </c>
      <c r="T22" s="49">
        <v>-25.885888413613547</v>
      </c>
      <c r="U22" s="49">
        <v>-25.296040702229387</v>
      </c>
      <c r="V22" s="49">
        <v>-21.402681512069677</v>
      </c>
      <c r="W22" s="27">
        <f t="shared" ref="W22" si="19">SUM(S22:V22)</f>
        <v>-83.84467523646228</v>
      </c>
    </row>
    <row r="23" spans="1:23" x14ac:dyDescent="0.25">
      <c r="B23" s="64" t="s">
        <v>52</v>
      </c>
      <c r="C23" s="57"/>
      <c r="D23" s="26">
        <v>254</v>
      </c>
      <c r="E23" s="26">
        <v>265</v>
      </c>
      <c r="F23" s="26">
        <v>269</v>
      </c>
      <c r="G23" s="26">
        <v>269</v>
      </c>
      <c r="H23" s="27">
        <f t="shared" ref="H23" si="20">SUM(D23:G23)</f>
        <v>1057</v>
      </c>
      <c r="I23" s="26">
        <v>261</v>
      </c>
      <c r="J23" s="26">
        <v>272</v>
      </c>
      <c r="K23" s="26">
        <v>249</v>
      </c>
      <c r="L23" s="26">
        <v>269</v>
      </c>
      <c r="M23" s="27">
        <f t="shared" ref="M23:M24" si="21">SUM(I23:L23)</f>
        <v>1051</v>
      </c>
      <c r="N23" s="183">
        <v>288</v>
      </c>
      <c r="O23" s="183">
        <v>302</v>
      </c>
      <c r="P23" s="183">
        <v>302</v>
      </c>
      <c r="Q23" s="49">
        <v>305.84007375323978</v>
      </c>
      <c r="R23" s="27">
        <f t="shared" ref="R23" si="22">SUM(N23:Q23)</f>
        <v>1197.8400737532397</v>
      </c>
      <c r="S23" s="49">
        <v>305.84007375323972</v>
      </c>
      <c r="T23" s="49">
        <v>305.38131364260988</v>
      </c>
      <c r="U23" s="49">
        <v>305.38131364260988</v>
      </c>
      <c r="V23" s="49">
        <v>304.92324167214593</v>
      </c>
      <c r="W23" s="27">
        <f t="shared" ref="W23" si="23">SUM(S23:V23)</f>
        <v>1221.5259427106055</v>
      </c>
    </row>
    <row r="24" spans="1:23" ht="17.25" x14ac:dyDescent="0.4">
      <c r="B24" s="64" t="s">
        <v>63</v>
      </c>
      <c r="C24" s="57"/>
      <c r="D24" s="30">
        <v>0</v>
      </c>
      <c r="E24" s="30">
        <v>0</v>
      </c>
      <c r="F24" s="30">
        <v>0</v>
      </c>
      <c r="G24" s="30">
        <v>0</v>
      </c>
      <c r="H24" s="31">
        <f t="shared" ref="H24" si="24">SUM(D24:G24)</f>
        <v>0</v>
      </c>
      <c r="I24" s="30">
        <v>0</v>
      </c>
      <c r="J24" s="30">
        <v>0</v>
      </c>
      <c r="K24" s="30">
        <v>0</v>
      </c>
      <c r="L24" s="30">
        <v>16</v>
      </c>
      <c r="M24" s="31">
        <f t="shared" si="21"/>
        <v>16</v>
      </c>
      <c r="N24" s="184">
        <v>0</v>
      </c>
      <c r="O24" s="184">
        <v>0</v>
      </c>
      <c r="P24" s="184">
        <v>0</v>
      </c>
      <c r="Q24" s="48">
        <v>0</v>
      </c>
      <c r="R24" s="31">
        <f t="shared" ref="R24" si="25">SUM(N24:Q24)</f>
        <v>0</v>
      </c>
      <c r="S24" s="48">
        <v>0</v>
      </c>
      <c r="T24" s="48">
        <v>0</v>
      </c>
      <c r="U24" s="48">
        <v>0</v>
      </c>
      <c r="V24" s="48">
        <v>0</v>
      </c>
      <c r="W24" s="31">
        <f t="shared" ref="W24" si="26">SUM(S24:V24)</f>
        <v>0</v>
      </c>
    </row>
    <row r="25" spans="1:23" ht="17.25" x14ac:dyDescent="0.4">
      <c r="B25" s="224" t="s">
        <v>96</v>
      </c>
      <c r="C25" s="225"/>
      <c r="D25" s="148">
        <f>SUM(D22:D24)</f>
        <v>241</v>
      </c>
      <c r="E25" s="148">
        <f t="shared" ref="E25:W25" si="27">SUM(E22:E24)</f>
        <v>249</v>
      </c>
      <c r="F25" s="148">
        <f t="shared" si="27"/>
        <v>247</v>
      </c>
      <c r="G25" s="148">
        <f>SUM(G22:G24)</f>
        <v>246</v>
      </c>
      <c r="H25" s="149">
        <f t="shared" si="27"/>
        <v>983</v>
      </c>
      <c r="I25" s="148">
        <f t="shared" si="27"/>
        <v>239</v>
      </c>
      <c r="J25" s="148">
        <f t="shared" si="27"/>
        <v>246</v>
      </c>
      <c r="K25" s="148">
        <f t="shared" si="27"/>
        <v>224</v>
      </c>
      <c r="L25" s="148">
        <f>SUM(L22:L24)</f>
        <v>265</v>
      </c>
      <c r="M25" s="149">
        <f t="shared" si="27"/>
        <v>974</v>
      </c>
      <c r="N25" s="186">
        <f t="shared" si="27"/>
        <v>273</v>
      </c>
      <c r="O25" s="186">
        <f>SUM(O22:O24)</f>
        <v>283</v>
      </c>
      <c r="P25" s="186">
        <f t="shared" si="27"/>
        <v>280</v>
      </c>
      <c r="Q25" s="148">
        <f t="shared" si="27"/>
        <v>283.9090737532398</v>
      </c>
      <c r="R25" s="204">
        <f t="shared" si="27"/>
        <v>1119.9090737532397</v>
      </c>
      <c r="S25" s="148">
        <f t="shared" si="27"/>
        <v>294.58000914469005</v>
      </c>
      <c r="T25" s="148">
        <f t="shared" si="27"/>
        <v>279.49542522899634</v>
      </c>
      <c r="U25" s="148">
        <f t="shared" si="27"/>
        <v>280.08527294038049</v>
      </c>
      <c r="V25" s="148">
        <f t="shared" si="27"/>
        <v>283.52056016007623</v>
      </c>
      <c r="W25" s="149">
        <f t="shared" si="27"/>
        <v>1137.6812674741432</v>
      </c>
    </row>
    <row r="26" spans="1:23" x14ac:dyDescent="0.25">
      <c r="B26" s="233" t="s">
        <v>18</v>
      </c>
      <c r="C26" s="234"/>
      <c r="D26" s="34">
        <f>D21-D25</f>
        <v>3108</v>
      </c>
      <c r="E26" s="34">
        <f t="shared" ref="E26:W26" si="28">E21-E25</f>
        <v>4214</v>
      </c>
      <c r="F26" s="34">
        <f t="shared" si="28"/>
        <v>3433</v>
      </c>
      <c r="G26" s="34">
        <f>G21-G25</f>
        <v>2943</v>
      </c>
      <c r="H26" s="35">
        <f t="shared" si="28"/>
        <v>13698</v>
      </c>
      <c r="I26" s="34">
        <f t="shared" si="28"/>
        <v>3142</v>
      </c>
      <c r="J26" s="34">
        <f t="shared" si="28"/>
        <v>4655</v>
      </c>
      <c r="K26" s="34">
        <f t="shared" si="28"/>
        <v>3646</v>
      </c>
      <c r="L26" s="34">
        <f>L21-L25</f>
        <v>3113</v>
      </c>
      <c r="M26" s="35">
        <f t="shared" si="28"/>
        <v>14556</v>
      </c>
      <c r="N26" s="185">
        <f>N21-N25</f>
        <v>3324</v>
      </c>
      <c r="O26" s="185">
        <f t="shared" si="28"/>
        <v>4613</v>
      </c>
      <c r="P26" s="185">
        <f t="shared" si="28"/>
        <v>3667</v>
      </c>
      <c r="Q26" s="34">
        <f t="shared" si="28"/>
        <v>2752.9047260525522</v>
      </c>
      <c r="R26" s="35">
        <f t="shared" si="28"/>
        <v>14356.904726052548</v>
      </c>
      <c r="S26" s="34">
        <f t="shared" si="28"/>
        <v>3405.2400100435607</v>
      </c>
      <c r="T26" s="34">
        <f t="shared" si="28"/>
        <v>4742.101322992773</v>
      </c>
      <c r="U26" s="34">
        <f t="shared" si="28"/>
        <v>3794.8229056402743</v>
      </c>
      <c r="V26" s="34">
        <f t="shared" si="28"/>
        <v>2793.4065715564302</v>
      </c>
      <c r="W26" s="35">
        <f t="shared" si="28"/>
        <v>14735.570810233034</v>
      </c>
    </row>
    <row r="27" spans="1:23" ht="17.25" x14ac:dyDescent="0.4">
      <c r="B27" s="216" t="s">
        <v>7</v>
      </c>
      <c r="C27" s="217"/>
      <c r="D27" s="30">
        <v>1094</v>
      </c>
      <c r="E27" s="30">
        <v>1542</v>
      </c>
      <c r="F27" s="30">
        <v>1268</v>
      </c>
      <c r="G27" s="30">
        <v>1164</v>
      </c>
      <c r="H27" s="31">
        <f>SUM(D27:G27)</f>
        <v>5068</v>
      </c>
      <c r="I27" s="30">
        <v>738</v>
      </c>
      <c r="J27" s="30">
        <v>1149</v>
      </c>
      <c r="K27" s="30">
        <v>779</v>
      </c>
      <c r="L27" s="30">
        <v>769</v>
      </c>
      <c r="M27" s="31">
        <f>SUM(I27:L27)</f>
        <v>3435</v>
      </c>
      <c r="N27" s="184">
        <v>811</v>
      </c>
      <c r="O27" s="184">
        <v>1134</v>
      </c>
      <c r="P27" s="184">
        <v>898</v>
      </c>
      <c r="Q27" s="30">
        <f>Q26*Q58</f>
        <v>701.99070514340087</v>
      </c>
      <c r="R27" s="31">
        <f>SUM(N27:Q27)</f>
        <v>3544.9907051434011</v>
      </c>
      <c r="S27" s="30">
        <f>S26*S58</f>
        <v>851.31000251089017</v>
      </c>
      <c r="T27" s="30">
        <f>T26*T58</f>
        <v>1185.5253307481933</v>
      </c>
      <c r="U27" s="30">
        <f>U26*U58</f>
        <v>948.70572641006856</v>
      </c>
      <c r="V27" s="30">
        <f>V26*V58</f>
        <v>698.35164288910755</v>
      </c>
      <c r="W27" s="31">
        <f>SUM(S27:V27)</f>
        <v>3683.8927025582593</v>
      </c>
    </row>
    <row r="28" spans="1:23" x14ac:dyDescent="0.25">
      <c r="A28" s="36"/>
      <c r="B28" s="224" t="s">
        <v>64</v>
      </c>
      <c r="C28" s="225"/>
      <c r="D28" s="34">
        <f t="shared" ref="D28:W28" si="29">+D26-D27</f>
        <v>2014</v>
      </c>
      <c r="E28" s="34">
        <f t="shared" si="29"/>
        <v>2672</v>
      </c>
      <c r="F28" s="34">
        <f t="shared" si="29"/>
        <v>2165</v>
      </c>
      <c r="G28" s="34">
        <f t="shared" si="29"/>
        <v>1779</v>
      </c>
      <c r="H28" s="35">
        <f t="shared" si="29"/>
        <v>8630</v>
      </c>
      <c r="I28" s="34">
        <f t="shared" si="29"/>
        <v>2404</v>
      </c>
      <c r="J28" s="34">
        <f t="shared" si="29"/>
        <v>3506</v>
      </c>
      <c r="K28" s="34">
        <f>+K26-K27</f>
        <v>2867</v>
      </c>
      <c r="L28" s="34">
        <f>+L26-L27</f>
        <v>2344</v>
      </c>
      <c r="M28" s="35">
        <f t="shared" si="29"/>
        <v>11121</v>
      </c>
      <c r="N28" s="185">
        <f>+N26-N27</f>
        <v>2513</v>
      </c>
      <c r="O28" s="185">
        <f t="shared" si="29"/>
        <v>3479</v>
      </c>
      <c r="P28" s="185">
        <f t="shared" si="29"/>
        <v>2769</v>
      </c>
      <c r="Q28" s="34">
        <f t="shared" si="29"/>
        <v>2050.9140209091511</v>
      </c>
      <c r="R28" s="35">
        <f t="shared" si="29"/>
        <v>10811.914020909146</v>
      </c>
      <c r="S28" s="34">
        <f t="shared" si="29"/>
        <v>2553.9300075326705</v>
      </c>
      <c r="T28" s="34">
        <f t="shared" si="29"/>
        <v>3556.5759922445795</v>
      </c>
      <c r="U28" s="34">
        <f t="shared" si="29"/>
        <v>2846.1171792302057</v>
      </c>
      <c r="V28" s="34">
        <f t="shared" si="29"/>
        <v>2095.0549286673227</v>
      </c>
      <c r="W28" s="35">
        <f t="shared" si="29"/>
        <v>11051.678107674774</v>
      </c>
    </row>
    <row r="29" spans="1:23" x14ac:dyDescent="0.25">
      <c r="B29" s="216" t="s">
        <v>0</v>
      </c>
      <c r="C29" s="217"/>
      <c r="D29" s="26">
        <v>1198</v>
      </c>
      <c r="E29" s="26">
        <v>1183</v>
      </c>
      <c r="F29" s="26">
        <v>1168</v>
      </c>
      <c r="G29" s="26">
        <v>1160</v>
      </c>
      <c r="H29" s="27">
        <f>+(D28/H28*D29)+(E28/H28*E29)+(F28/H28*F29)+(G28/H28*G29)</f>
        <v>1177.9962920046351</v>
      </c>
      <c r="I29" s="26">
        <v>1152</v>
      </c>
      <c r="J29" s="26">
        <v>1144</v>
      </c>
      <c r="K29" s="26">
        <v>1135</v>
      </c>
      <c r="L29" s="26">
        <v>1116</v>
      </c>
      <c r="M29" s="27">
        <f>+(I28/M28*I29)+(J28/M28*J29)+(K28/M28*K29)+(L28/M28*L29)</f>
        <v>1137.5075083175975</v>
      </c>
      <c r="N29" s="183">
        <v>1101</v>
      </c>
      <c r="O29" s="183">
        <v>1095</v>
      </c>
      <c r="P29" s="183">
        <v>1089</v>
      </c>
      <c r="Q29" s="26">
        <f>P29*(1+Q62)-Q66</f>
        <v>1083.1341412002821</v>
      </c>
      <c r="R29" s="27">
        <f>+(N28/R28*N29)+(O28/R28*O29)+(P28/R28*P29)+(Q28/R28*Q29)</f>
        <v>1092.6070974914867</v>
      </c>
      <c r="S29" s="26">
        <f>Q29*(1+S62)-S66</f>
        <v>1078.6738128349368</v>
      </c>
      <c r="T29" s="26">
        <f>S29*(1+T62)-T66</f>
        <v>1075.5969965355787</v>
      </c>
      <c r="U29" s="26">
        <f>T29*(1+U62)-U66</f>
        <v>1072.276809189791</v>
      </c>
      <c r="V29" s="26">
        <f>U29*(1+V62)-V66</f>
        <v>1068.8919808174267</v>
      </c>
      <c r="W29" s="27">
        <f>+(S28/W28*S29)+(T28/W28*T29)+(U28/W28*U29)+(V28/W28*V29)</f>
        <v>1074.1819132474802</v>
      </c>
    </row>
    <row r="30" spans="1:23" ht="15.75" customHeight="1" x14ac:dyDescent="0.25">
      <c r="B30" s="216" t="s">
        <v>1</v>
      </c>
      <c r="C30" s="217"/>
      <c r="D30" s="26">
        <v>1204</v>
      </c>
      <c r="E30" s="26">
        <v>1189</v>
      </c>
      <c r="F30" s="26">
        <v>1174</v>
      </c>
      <c r="G30" s="26">
        <v>1167</v>
      </c>
      <c r="H30" s="27">
        <f>+(D28/H28*D30)+(E28/H28*E30)+(F28/H28*F30)+(G28/H28*G30)</f>
        <v>1184.2024333719583</v>
      </c>
      <c r="I30" s="26">
        <v>1158</v>
      </c>
      <c r="J30" s="26">
        <v>1149</v>
      </c>
      <c r="K30" s="26">
        <v>1141</v>
      </c>
      <c r="L30" s="26">
        <v>1121</v>
      </c>
      <c r="M30" s="27">
        <f>+(I28/M28*I30)+(J28/M28*J30)+(K28/M28*K30)+(L28/M28*L30)</f>
        <v>1142.9814764859275</v>
      </c>
      <c r="N30" s="183">
        <v>1106</v>
      </c>
      <c r="O30" s="183">
        <v>1099</v>
      </c>
      <c r="P30" s="183">
        <v>1094</v>
      </c>
      <c r="Q30" s="26">
        <f>P30*(1+Q63)-Q66</f>
        <v>1087.8944818708765</v>
      </c>
      <c r="R30" s="27">
        <f>+(N28/R28*N30)+(O28/R28*O30)+(P28/R28*P30)+(Q28/R28*Q30)</f>
        <v>1097.2398618039629</v>
      </c>
      <c r="S30" s="26">
        <f>Q30*(1+S63)-S66</f>
        <v>1083.3761718619853</v>
      </c>
      <c r="T30" s="26">
        <f>S30*(1+T63)-T66</f>
        <v>1080.2270453781384</v>
      </c>
      <c r="U30" s="26">
        <f>T30*(1+U63)-U66</f>
        <v>1077.0609728729094</v>
      </c>
      <c r="V30" s="26">
        <f>U30*(1+V63)-V66</f>
        <v>1073.6231657318156</v>
      </c>
      <c r="W30" s="27">
        <f>+(S28/W28*S30)+(T28/W28*T30)+(U28/W28*U30)+(V28/W28*V30)</f>
        <v>1078.8875333890699</v>
      </c>
    </row>
    <row r="31" spans="1:23" ht="15.75" customHeight="1" x14ac:dyDescent="0.25">
      <c r="B31" s="230" t="s">
        <v>8</v>
      </c>
      <c r="C31" s="231"/>
      <c r="D31" s="37">
        <f t="shared" ref="D31:W31" si="30">D28/D29</f>
        <v>1.681135225375626</v>
      </c>
      <c r="E31" s="37">
        <f t="shared" si="30"/>
        <v>2.2586644125105662</v>
      </c>
      <c r="F31" s="37">
        <f t="shared" si="30"/>
        <v>1.8535958904109588</v>
      </c>
      <c r="G31" s="37">
        <f t="shared" si="30"/>
        <v>1.5336206896551725</v>
      </c>
      <c r="H31" s="38">
        <f t="shared" si="30"/>
        <v>7.3259992909774319</v>
      </c>
      <c r="I31" s="37">
        <f t="shared" si="30"/>
        <v>2.0868055555555554</v>
      </c>
      <c r="J31" s="37">
        <f t="shared" si="30"/>
        <v>3.0646853146853146</v>
      </c>
      <c r="K31" s="37">
        <f t="shared" si="30"/>
        <v>2.5259911894273128</v>
      </c>
      <c r="L31" s="37">
        <f t="shared" si="30"/>
        <v>2.1003584229390682</v>
      </c>
      <c r="M31" s="38">
        <f t="shared" si="30"/>
        <v>9.7766387638603298</v>
      </c>
      <c r="N31" s="187">
        <f t="shared" si="30"/>
        <v>2.282470481380563</v>
      </c>
      <c r="O31" s="187">
        <f t="shared" si="30"/>
        <v>3.1771689497716893</v>
      </c>
      <c r="P31" s="187">
        <f t="shared" si="30"/>
        <v>2.5426997245179064</v>
      </c>
      <c r="Q31" s="37">
        <f t="shared" si="30"/>
        <v>1.8934995610390579</v>
      </c>
      <c r="R31" s="38">
        <f t="shared" si="30"/>
        <v>9.8955187511889555</v>
      </c>
      <c r="S31" s="37">
        <f t="shared" si="30"/>
        <v>2.3676573744017309</v>
      </c>
      <c r="T31" s="37">
        <f t="shared" si="30"/>
        <v>3.3066064740790999</v>
      </c>
      <c r="U31" s="37">
        <f t="shared" si="30"/>
        <v>2.6542746750074011</v>
      </c>
      <c r="V31" s="37">
        <f t="shared" si="30"/>
        <v>1.9600249288661946</v>
      </c>
      <c r="W31" s="38">
        <f t="shared" si="30"/>
        <v>10.288460428702622</v>
      </c>
    </row>
    <row r="32" spans="1:23" x14ac:dyDescent="0.25">
      <c r="B32" s="230" t="s">
        <v>9</v>
      </c>
      <c r="C32" s="231"/>
      <c r="D32" s="37">
        <f t="shared" ref="D32:W32" si="31">D28/D30</f>
        <v>1.6727574750830565</v>
      </c>
      <c r="E32" s="37">
        <f t="shared" si="31"/>
        <v>2.2472666105971406</v>
      </c>
      <c r="F32" s="37">
        <f t="shared" si="31"/>
        <v>1.84412265758092</v>
      </c>
      <c r="G32" s="37">
        <f t="shared" si="31"/>
        <v>1.5244215938303343</v>
      </c>
      <c r="H32" s="38">
        <f t="shared" si="31"/>
        <v>7.2876053593527068</v>
      </c>
      <c r="I32" s="37">
        <f t="shared" si="31"/>
        <v>2.075993091537133</v>
      </c>
      <c r="J32" s="37">
        <f t="shared" si="31"/>
        <v>3.0513489991296781</v>
      </c>
      <c r="K32" s="37">
        <f>K28/K30</f>
        <v>2.5127081507449605</v>
      </c>
      <c r="L32" s="37">
        <f>L28/L30</f>
        <v>2.0909901873327388</v>
      </c>
      <c r="M32" s="38">
        <f t="shared" si="31"/>
        <v>9.7298164745340241</v>
      </c>
      <c r="N32" s="187">
        <f>N28/N30</f>
        <v>2.2721518987341773</v>
      </c>
      <c r="O32" s="187">
        <f t="shared" si="31"/>
        <v>3.1656050955414012</v>
      </c>
      <c r="P32" s="187">
        <f t="shared" si="31"/>
        <v>2.5310786106032905</v>
      </c>
      <c r="Q32" s="187">
        <f t="shared" si="31"/>
        <v>1.8852141040205925</v>
      </c>
      <c r="R32" s="209">
        <f t="shared" si="31"/>
        <v>9.8537379084399728</v>
      </c>
      <c r="S32" s="187">
        <f t="shared" si="31"/>
        <v>2.3573806345982877</v>
      </c>
      <c r="T32" s="187">
        <f t="shared" si="31"/>
        <v>3.2924337596079942</v>
      </c>
      <c r="U32" s="187">
        <f t="shared" si="31"/>
        <v>2.6424847347672311</v>
      </c>
      <c r="V32" s="187">
        <f t="shared" si="31"/>
        <v>1.9513875962608043</v>
      </c>
      <c r="W32" s="209">
        <f t="shared" si="31"/>
        <v>10.243586811090998</v>
      </c>
    </row>
    <row r="33" spans="1:25" x14ac:dyDescent="0.25">
      <c r="B33" s="166" t="s">
        <v>53</v>
      </c>
      <c r="C33" s="178"/>
      <c r="D33" s="56">
        <v>0.89</v>
      </c>
      <c r="E33" s="56">
        <v>0.89</v>
      </c>
      <c r="F33" s="56">
        <v>0.89</v>
      </c>
      <c r="G33" s="56">
        <v>1.03</v>
      </c>
      <c r="H33" s="109">
        <f>+SUM(D33:G33)</f>
        <v>3.7</v>
      </c>
      <c r="I33" s="56">
        <v>1.03</v>
      </c>
      <c r="J33" s="56">
        <v>1.03</v>
      </c>
      <c r="K33" s="56">
        <v>1.03</v>
      </c>
      <c r="L33" s="56">
        <v>1.36</v>
      </c>
      <c r="M33" s="109">
        <f>+SUM(I33:L33)</f>
        <v>4.45</v>
      </c>
      <c r="N33" s="188">
        <f>+L33</f>
        <v>1.36</v>
      </c>
      <c r="O33" s="188">
        <v>1.36</v>
      </c>
      <c r="P33" s="188">
        <v>1.36</v>
      </c>
      <c r="Q33" s="139">
        <f>1.2*P33</f>
        <v>1.6320000000000001</v>
      </c>
      <c r="R33" s="109">
        <f>+SUM(N33:Q33)</f>
        <v>5.7119999999999997</v>
      </c>
      <c r="S33" s="139">
        <f>+Q33</f>
        <v>1.6320000000000001</v>
      </c>
      <c r="T33" s="139">
        <f>+S33</f>
        <v>1.6320000000000001</v>
      </c>
      <c r="U33" s="139">
        <f>+T33</f>
        <v>1.6320000000000001</v>
      </c>
      <c r="V33" s="139">
        <f>1.2*U33</f>
        <v>1.9584000000000001</v>
      </c>
      <c r="W33" s="109">
        <f>+SUM(S33:V33)</f>
        <v>6.8544000000000009</v>
      </c>
    </row>
    <row r="34" spans="1:25" x14ac:dyDescent="0.25">
      <c r="B34" s="40"/>
      <c r="C34" s="43"/>
      <c r="D34" s="140"/>
      <c r="E34" s="43"/>
      <c r="F34" s="43"/>
      <c r="G34" s="137"/>
      <c r="H34" s="16"/>
      <c r="I34" s="138"/>
      <c r="J34" s="138"/>
      <c r="K34" s="137"/>
      <c r="L34" s="138"/>
      <c r="M34" s="3"/>
      <c r="N34" s="137"/>
      <c r="O34" s="137"/>
      <c r="P34" s="137"/>
      <c r="Q34" s="211"/>
      <c r="R34" s="210"/>
      <c r="S34" s="211"/>
      <c r="T34" s="211"/>
      <c r="U34" s="211"/>
      <c r="V34" s="211"/>
      <c r="W34" s="210"/>
    </row>
    <row r="35" spans="1:25" ht="15.75" x14ac:dyDescent="0.25">
      <c r="A35" s="191"/>
      <c r="B35" s="218" t="s">
        <v>36</v>
      </c>
      <c r="C35" s="219"/>
      <c r="D35" s="23" t="s">
        <v>69</v>
      </c>
      <c r="E35" s="23" t="s">
        <v>70</v>
      </c>
      <c r="F35" s="23" t="s">
        <v>71</v>
      </c>
      <c r="G35" s="23" t="s">
        <v>72</v>
      </c>
      <c r="H35" s="66" t="s">
        <v>72</v>
      </c>
      <c r="I35" s="23" t="s">
        <v>68</v>
      </c>
      <c r="J35" s="23" t="s">
        <v>67</v>
      </c>
      <c r="K35" s="23" t="s">
        <v>66</v>
      </c>
      <c r="L35" s="23" t="s">
        <v>65</v>
      </c>
      <c r="M35" s="66" t="s">
        <v>65</v>
      </c>
      <c r="N35" s="23" t="s">
        <v>73</v>
      </c>
      <c r="O35" s="23" t="s">
        <v>74</v>
      </c>
      <c r="P35" s="23" t="s">
        <v>75</v>
      </c>
      <c r="Q35" s="25" t="s">
        <v>76</v>
      </c>
      <c r="R35" s="68" t="s">
        <v>76</v>
      </c>
      <c r="S35" s="25" t="s">
        <v>77</v>
      </c>
      <c r="T35" s="25" t="s">
        <v>78</v>
      </c>
      <c r="U35" s="25" t="s">
        <v>79</v>
      </c>
      <c r="V35" s="25" t="s">
        <v>80</v>
      </c>
      <c r="W35" s="68" t="s">
        <v>80</v>
      </c>
    </row>
    <row r="36" spans="1:25" ht="17.25" x14ac:dyDescent="0.4">
      <c r="A36" s="191"/>
      <c r="B36" s="228"/>
      <c r="C36" s="229"/>
      <c r="D36" s="24" t="s">
        <v>39</v>
      </c>
      <c r="E36" s="24" t="s">
        <v>40</v>
      </c>
      <c r="F36" s="24" t="s">
        <v>41</v>
      </c>
      <c r="G36" s="24" t="s">
        <v>42</v>
      </c>
      <c r="H36" s="67" t="s">
        <v>43</v>
      </c>
      <c r="I36" s="24" t="s">
        <v>44</v>
      </c>
      <c r="J36" s="24" t="s">
        <v>45</v>
      </c>
      <c r="K36" s="24" t="s">
        <v>46</v>
      </c>
      <c r="L36" s="24" t="s">
        <v>47</v>
      </c>
      <c r="M36" s="67" t="s">
        <v>48</v>
      </c>
      <c r="N36" s="24" t="s">
        <v>49</v>
      </c>
      <c r="O36" s="24" t="s">
        <v>125</v>
      </c>
      <c r="P36" s="24" t="s">
        <v>126</v>
      </c>
      <c r="Q36" s="22" t="s">
        <v>118</v>
      </c>
      <c r="R36" s="69" t="s">
        <v>119</v>
      </c>
      <c r="S36" s="22" t="s">
        <v>120</v>
      </c>
      <c r="T36" s="22" t="s">
        <v>121</v>
      </c>
      <c r="U36" s="22" t="s">
        <v>122</v>
      </c>
      <c r="V36" s="22" t="s">
        <v>123</v>
      </c>
      <c r="W36" s="69" t="s">
        <v>124</v>
      </c>
    </row>
    <row r="37" spans="1:25" s="20" customFormat="1" outlineLevel="1" x14ac:dyDescent="0.25">
      <c r="A37" s="193"/>
      <c r="B37" s="237" t="s">
        <v>81</v>
      </c>
      <c r="C37" s="238"/>
      <c r="D37" s="34">
        <v>2281</v>
      </c>
      <c r="E37" s="34">
        <v>2282</v>
      </c>
      <c r="F37" s="34">
        <v>2283</v>
      </c>
      <c r="G37" s="34">
        <v>2284</v>
      </c>
      <c r="H37" s="152"/>
      <c r="I37" s="34">
        <v>2285</v>
      </c>
      <c r="J37" s="34">
        <v>2286</v>
      </c>
      <c r="K37" s="34">
        <v>2286</v>
      </c>
      <c r="L37" s="34">
        <v>2287</v>
      </c>
      <c r="M37" s="152">
        <f>L37</f>
        <v>2287</v>
      </c>
      <c r="N37" s="34">
        <v>2289</v>
      </c>
      <c r="O37" s="34">
        <v>2291</v>
      </c>
      <c r="P37" s="34">
        <f t="shared" ref="P37:Q37" si="32">+O37+P38</f>
        <v>2290</v>
      </c>
      <c r="Q37" s="34">
        <f t="shared" si="32"/>
        <v>2292</v>
      </c>
      <c r="R37" s="152">
        <f>Q37</f>
        <v>2292</v>
      </c>
      <c r="S37" s="34">
        <f>+Q37+S38</f>
        <v>2293</v>
      </c>
      <c r="T37" s="34">
        <f>+S37+T38</f>
        <v>2294</v>
      </c>
      <c r="U37" s="34">
        <f t="shared" ref="U37" si="33">+T37+U38</f>
        <v>2295</v>
      </c>
      <c r="V37" s="34">
        <f t="shared" ref="V37" si="34">+U37+V38</f>
        <v>2296</v>
      </c>
      <c r="W37" s="152">
        <f>V37</f>
        <v>2296</v>
      </c>
    </row>
    <row r="38" spans="1:25" outlineLevel="1" x14ac:dyDescent="0.25">
      <c r="A38" s="191"/>
      <c r="B38" s="41" t="s">
        <v>88</v>
      </c>
      <c r="C38" s="59"/>
      <c r="D38" s="26">
        <f>D37-2278</f>
        <v>3</v>
      </c>
      <c r="E38" s="26">
        <f>+E37-D37</f>
        <v>1</v>
      </c>
      <c r="F38" s="26">
        <f t="shared" ref="F38" si="35">+F37-E37</f>
        <v>1</v>
      </c>
      <c r="G38" s="26">
        <f>+G37-F37</f>
        <v>1</v>
      </c>
      <c r="H38" s="42">
        <f>SUM(D38:G38)</f>
        <v>6</v>
      </c>
      <c r="I38" s="26">
        <f>+I37-G37</f>
        <v>1</v>
      </c>
      <c r="J38" s="26">
        <f>+J37-I37</f>
        <v>1</v>
      </c>
      <c r="K38" s="26">
        <f t="shared" ref="K38" si="36">+K37-J37</f>
        <v>0</v>
      </c>
      <c r="L38" s="26">
        <f>+L37-K37</f>
        <v>1</v>
      </c>
      <c r="M38" s="42">
        <f>SUM(I38:L38)</f>
        <v>3</v>
      </c>
      <c r="N38" s="26">
        <f>+N37-L37</f>
        <v>2</v>
      </c>
      <c r="O38" s="26">
        <f>+O37-N37</f>
        <v>2</v>
      </c>
      <c r="P38" s="183">
        <v>-1</v>
      </c>
      <c r="Q38" s="49">
        <v>2</v>
      </c>
      <c r="R38" s="205">
        <f>SUM(N38:Q38)</f>
        <v>5</v>
      </c>
      <c r="S38" s="49">
        <v>1</v>
      </c>
      <c r="T38" s="49">
        <v>1</v>
      </c>
      <c r="U38" s="49">
        <v>1</v>
      </c>
      <c r="V38" s="49">
        <v>1</v>
      </c>
      <c r="W38" s="42">
        <f>SUM(S38:V38)</f>
        <v>4</v>
      </c>
    </row>
    <row r="39" spans="1:25" s="121" customFormat="1" outlineLevel="1" x14ac:dyDescent="0.25">
      <c r="A39" s="196"/>
      <c r="B39" s="122" t="s">
        <v>54</v>
      </c>
      <c r="C39" s="123"/>
      <c r="D39" s="125">
        <v>2278</v>
      </c>
      <c r="E39" s="125">
        <v>2278</v>
      </c>
      <c r="F39" s="125">
        <v>2278</v>
      </c>
      <c r="G39" s="125">
        <v>2278</v>
      </c>
      <c r="H39" s="126">
        <f>AVERAGE(D39:G39)</f>
        <v>2278</v>
      </c>
      <c r="I39" s="125">
        <f>D37</f>
        <v>2281</v>
      </c>
      <c r="J39" s="125">
        <f>E37</f>
        <v>2282</v>
      </c>
      <c r="K39" s="125">
        <f>F37</f>
        <v>2283</v>
      </c>
      <c r="L39" s="125">
        <f>G37</f>
        <v>2284</v>
      </c>
      <c r="M39" s="126">
        <f>AVERAGE(I39:L39)</f>
        <v>2282.5</v>
      </c>
      <c r="N39" s="125">
        <f>I37</f>
        <v>2285</v>
      </c>
      <c r="O39" s="125">
        <f>J37</f>
        <v>2286</v>
      </c>
      <c r="P39" s="125">
        <f t="shared" ref="P39" si="37">K37</f>
        <v>2286</v>
      </c>
      <c r="Q39" s="125">
        <f>L37</f>
        <v>2287</v>
      </c>
      <c r="R39" s="126">
        <f>AVERAGE(N39:Q39)</f>
        <v>2286</v>
      </c>
      <c r="S39" s="125">
        <f>N37</f>
        <v>2289</v>
      </c>
      <c r="T39" s="125">
        <f t="shared" ref="T39" si="38">O37</f>
        <v>2291</v>
      </c>
      <c r="U39" s="125">
        <f t="shared" ref="U39" si="39">P37</f>
        <v>2290</v>
      </c>
      <c r="V39" s="125">
        <f>Q37</f>
        <v>2292</v>
      </c>
      <c r="W39" s="126">
        <f>AVERAGE(S39:V39)</f>
        <v>2290.5</v>
      </c>
    </row>
    <row r="40" spans="1:25" s="121" customFormat="1" outlineLevel="1" x14ac:dyDescent="0.25">
      <c r="A40" s="196"/>
      <c r="B40" s="122" t="s">
        <v>55</v>
      </c>
      <c r="C40" s="123"/>
      <c r="D40" s="163">
        <v>10.477565438414539</v>
      </c>
      <c r="E40" s="163">
        <v>12.338945366188232</v>
      </c>
      <c r="F40" s="163">
        <v>10.978759745425613</v>
      </c>
      <c r="G40" s="163">
        <v>10.502805820781584</v>
      </c>
      <c r="H40" s="130">
        <f>SUM(D40:G40)</f>
        <v>44.298076370809966</v>
      </c>
      <c r="I40" s="163">
        <v>11.243870807581272</v>
      </c>
      <c r="J40" s="163">
        <v>13.068968794428521</v>
      </c>
      <c r="K40" s="163">
        <v>11.474538198287984</v>
      </c>
      <c r="L40" s="163">
        <v>10.773426965048801</v>
      </c>
      <c r="M40" s="130">
        <f>SUM(I40:L40)</f>
        <v>46.560804765346575</v>
      </c>
      <c r="N40" s="163">
        <f>I40*(1+N46)</f>
        <v>11.524967577770804</v>
      </c>
      <c r="O40" s="163">
        <f>J40*(1+O46)</f>
        <v>13.461037858261378</v>
      </c>
      <c r="P40" s="163">
        <f>K40*(1+P46)</f>
        <v>11.887621573426353</v>
      </c>
      <c r="Q40" s="163">
        <f>L40*(1+Q46)</f>
        <v>11.236684324545898</v>
      </c>
      <c r="R40" s="130">
        <f>SUM(N40:Q40)</f>
        <v>48.110311334004429</v>
      </c>
      <c r="S40" s="163">
        <f>N40*(1+S46)</f>
        <v>11.997491248459406</v>
      </c>
      <c r="T40" s="163">
        <f>O40*(1+T46)</f>
        <v>13.959096259017048</v>
      </c>
      <c r="U40" s="163">
        <f>P40*(1+U46)</f>
        <v>12.327463571643127</v>
      </c>
      <c r="V40" s="163">
        <f>Q40*(1+V46)</f>
        <v>11.61873159158046</v>
      </c>
      <c r="W40" s="130">
        <f>SUM(S40:V40)</f>
        <v>49.902782670700049</v>
      </c>
    </row>
    <row r="41" spans="1:25" ht="17.25" outlineLevel="1" x14ac:dyDescent="0.4">
      <c r="A41" s="191"/>
      <c r="B41" s="165" t="s">
        <v>89</v>
      </c>
      <c r="C41" s="117"/>
      <c r="D41" s="48">
        <f>+(D37-D39)*D44-12</f>
        <v>19.416483998246381</v>
      </c>
      <c r="E41" s="48">
        <f>+(E37-E39)*E44-49</f>
        <v>0.26906222611744113</v>
      </c>
      <c r="F41" s="48">
        <f>+(F37-F39)*F44-38</f>
        <v>16.809461235216823</v>
      </c>
      <c r="G41" s="48">
        <f>+(G37-G39)*G44-105</f>
        <v>-42.260070052539405</v>
      </c>
      <c r="H41" s="164">
        <f>SUM(D41:G41)</f>
        <v>-5.7650625929587562</v>
      </c>
      <c r="I41" s="48">
        <f>+(I37-I39)*I44-744</f>
        <v>-700.3291028446389</v>
      </c>
      <c r="J41" s="48">
        <v>640</v>
      </c>
      <c r="K41" s="48">
        <f>250-144</f>
        <v>106</v>
      </c>
      <c r="L41" s="48">
        <f>+(L37-L39)*L44+1700+150</f>
        <v>1884.7498906864889</v>
      </c>
      <c r="M41" s="164">
        <f>SUM(I41:L41)</f>
        <v>1930.4207878418501</v>
      </c>
      <c r="N41" s="48">
        <f>+(N37-N39)*N44</f>
        <v>46.100480559196157</v>
      </c>
      <c r="O41" s="48">
        <f>+(O37-O39)*O44</f>
        <v>67.304670449585331</v>
      </c>
      <c r="P41" s="48">
        <f>+(P37-P39)*P44</f>
        <v>47.55109170305677</v>
      </c>
      <c r="Q41" s="48">
        <f>(Q37-Q39)*AVERAGE(N40:Q40)</f>
        <v>60.137889167505534</v>
      </c>
      <c r="R41" s="164">
        <f>SUM(N41:Q41)</f>
        <v>221.09413187934379</v>
      </c>
      <c r="S41" s="48">
        <v>51</v>
      </c>
      <c r="T41" s="48">
        <f>AVERAGE(S41,Q41,P41,O41)</f>
        <v>56.498412830036912</v>
      </c>
      <c r="U41" s="48">
        <f>AVERAGE(T41,S41,Q41,P41)</f>
        <v>53.796848425149804</v>
      </c>
      <c r="V41" s="48">
        <f>AVERAGE(U41,T41,S41,Q41)</f>
        <v>55.358287605673063</v>
      </c>
      <c r="W41" s="164">
        <f>SUM(S41:V41)</f>
        <v>216.65354886085979</v>
      </c>
    </row>
    <row r="42" spans="1:25" s="20" customFormat="1" outlineLevel="1" x14ac:dyDescent="0.25">
      <c r="A42" s="193"/>
      <c r="B42" s="220" t="s">
        <v>90</v>
      </c>
      <c r="C42" s="221"/>
      <c r="D42" s="34">
        <f t="shared" ref="D42:M42" si="40">+D14</f>
        <v>23887</v>
      </c>
      <c r="E42" s="34">
        <f t="shared" si="40"/>
        <v>28108</v>
      </c>
      <c r="F42" s="34">
        <f t="shared" si="40"/>
        <v>25026</v>
      </c>
      <c r="G42" s="34">
        <f t="shared" si="40"/>
        <v>23883</v>
      </c>
      <c r="H42" s="152">
        <f t="shared" si="40"/>
        <v>100904</v>
      </c>
      <c r="I42" s="34">
        <f t="shared" si="40"/>
        <v>24947</v>
      </c>
      <c r="J42" s="34">
        <f t="shared" si="40"/>
        <v>30463</v>
      </c>
      <c r="K42" s="34">
        <f t="shared" si="40"/>
        <v>26302</v>
      </c>
      <c r="L42" s="34">
        <f>+L14</f>
        <v>26491</v>
      </c>
      <c r="M42" s="152">
        <f t="shared" si="40"/>
        <v>108203</v>
      </c>
      <c r="N42" s="34">
        <f>+N14</f>
        <v>26381</v>
      </c>
      <c r="O42" s="34">
        <f>+O14</f>
        <v>30839</v>
      </c>
      <c r="P42" s="34">
        <f>+P14</f>
        <v>27223</v>
      </c>
      <c r="Q42" s="34">
        <f>+Q39*Q40+Q41</f>
        <v>25758.434939403975</v>
      </c>
      <c r="R42" s="244">
        <f>+R14</f>
        <v>110201.43493940397</v>
      </c>
      <c r="S42" s="34">
        <f>+S39*S40+S41</f>
        <v>27513.257467723579</v>
      </c>
      <c r="T42" s="34">
        <f>+T39*T40+T41</f>
        <v>32036.787942238097</v>
      </c>
      <c r="U42" s="34">
        <f>+U39*U40+U41</f>
        <v>28283.688427487912</v>
      </c>
      <c r="V42" s="34">
        <f>+V39*V40+V41</f>
        <v>26685.491095508085</v>
      </c>
      <c r="W42" s="152">
        <f>+W14</f>
        <v>114519.22493295767</v>
      </c>
    </row>
    <row r="43" spans="1:25" s="20" customFormat="1" outlineLevel="1" x14ac:dyDescent="0.25">
      <c r="A43" s="193"/>
      <c r="B43" s="143" t="s">
        <v>92</v>
      </c>
      <c r="C43" s="144"/>
      <c r="D43" s="34"/>
      <c r="E43" s="34"/>
      <c r="F43" s="34"/>
      <c r="G43" s="34"/>
      <c r="H43" s="152"/>
      <c r="I43" s="134">
        <f>+I42/D42-1</f>
        <v>4.4375601791769581E-2</v>
      </c>
      <c r="J43" s="134">
        <f t="shared" ref="J43:R43" si="41">+J42/E42-1</f>
        <v>8.3783976092215662E-2</v>
      </c>
      <c r="K43" s="134">
        <f t="shared" si="41"/>
        <v>5.0986973547510583E-2</v>
      </c>
      <c r="L43" s="134">
        <f t="shared" si="41"/>
        <v>0.10919901184943259</v>
      </c>
      <c r="M43" s="147">
        <f t="shared" si="41"/>
        <v>7.2336081820344011E-2</v>
      </c>
      <c r="N43" s="134">
        <f t="shared" si="41"/>
        <v>5.7481861546478497E-2</v>
      </c>
      <c r="O43" s="134">
        <f t="shared" si="41"/>
        <v>1.2342842136362053E-2</v>
      </c>
      <c r="P43" s="134">
        <f t="shared" si="41"/>
        <v>3.5016348566648814E-2</v>
      </c>
      <c r="Q43" s="134">
        <f t="shared" si="41"/>
        <v>-2.7653356256691963E-2</v>
      </c>
      <c r="R43" s="245">
        <f t="shared" si="41"/>
        <v>1.8469311751097228E-2</v>
      </c>
      <c r="S43" s="134">
        <f t="shared" ref="S43" si="42">+S42/N42-1</f>
        <v>4.2919429427374922E-2</v>
      </c>
      <c r="T43" s="134">
        <f t="shared" ref="T43" si="43">+T42/O42-1</f>
        <v>3.8840038335811622E-2</v>
      </c>
      <c r="U43" s="134">
        <f t="shared" ref="U43" si="44">+U42/P42-1</f>
        <v>3.8962951456045003E-2</v>
      </c>
      <c r="V43" s="134">
        <f t="shared" ref="V43" si="45">+V42/Q42-1</f>
        <v>3.5990391430418267E-2</v>
      </c>
      <c r="W43" s="240">
        <f t="shared" ref="W43" si="46">+W42/R42-1</f>
        <v>3.9180887217375115E-2</v>
      </c>
    </row>
    <row r="44" spans="1:25" s="20" customFormat="1" outlineLevel="1" x14ac:dyDescent="0.25">
      <c r="A44" s="193"/>
      <c r="B44" s="127" t="s">
        <v>91</v>
      </c>
      <c r="C44" s="61"/>
      <c r="D44" s="129">
        <f>+D42/D37</f>
        <v>10.472161332748794</v>
      </c>
      <c r="E44" s="129">
        <f>+E42/E37</f>
        <v>12.31726555652936</v>
      </c>
      <c r="F44" s="129">
        <f>+F42/F37</f>
        <v>10.961892247043364</v>
      </c>
      <c r="G44" s="129">
        <f>+G42/G37</f>
        <v>10.456654991243433</v>
      </c>
      <c r="H44" s="130"/>
      <c r="I44" s="129">
        <f>+I42/I37</f>
        <v>10.917724288840263</v>
      </c>
      <c r="J44" s="129">
        <f>+J42/J37</f>
        <v>13.325896762904637</v>
      </c>
      <c r="K44" s="129">
        <f>+K42/K37</f>
        <v>11.505686789151357</v>
      </c>
      <c r="L44" s="129">
        <f>+L42/L37</f>
        <v>11.583296895496284</v>
      </c>
      <c r="M44" s="132"/>
      <c r="N44" s="131">
        <f>+N42/N37</f>
        <v>11.525120139799039</v>
      </c>
      <c r="O44" s="131">
        <f>+O42/O37</f>
        <v>13.460934089917068</v>
      </c>
      <c r="P44" s="131">
        <f>+P42/P37</f>
        <v>11.887772925764192</v>
      </c>
      <c r="Q44" s="131">
        <f>+Q42/Q37</f>
        <v>11.238409659425818</v>
      </c>
      <c r="R44" s="241"/>
      <c r="S44" s="131">
        <f>+S42/S37</f>
        <v>11.998803954524021</v>
      </c>
      <c r="T44" s="131">
        <f>+T42/T37</f>
        <v>13.965469896354881</v>
      </c>
      <c r="U44" s="131">
        <f>+U42/U37</f>
        <v>12.324047245092773</v>
      </c>
      <c r="V44" s="131">
        <f>+V42/V37</f>
        <v>11.622600651353695</v>
      </c>
      <c r="W44" s="241"/>
    </row>
    <row r="45" spans="1:25" s="121" customFormat="1" outlineLevel="1" x14ac:dyDescent="0.25">
      <c r="A45" s="196"/>
      <c r="B45" s="127" t="s">
        <v>56</v>
      </c>
      <c r="C45" s="128"/>
      <c r="D45" s="124">
        <f>ROUND((+D42-D41-(D39*D40)),0)</f>
        <v>0</v>
      </c>
      <c r="E45" s="124">
        <f>ROUND((+E42-E41-(E39*E40)),0)</f>
        <v>0</v>
      </c>
      <c r="F45" s="124">
        <f>ROUND((+F42-F41-(F39*F40)),0)</f>
        <v>0</v>
      </c>
      <c r="G45" s="124">
        <f>ROUND((+G42-G41-(G39*G40)),0)</f>
        <v>0</v>
      </c>
      <c r="H45" s="126"/>
      <c r="I45" s="124">
        <f>ROUND((+I42-I41-(I39*I40)),0)</f>
        <v>0</v>
      </c>
      <c r="J45" s="124">
        <f>ROUND((+J42-J41-(J39*J40)),0)</f>
        <v>0</v>
      </c>
      <c r="K45" s="124">
        <f>ROUND((+K42-K41-(K39*K40)),0)</f>
        <v>0</v>
      </c>
      <c r="L45" s="124">
        <f>ROUND((+L42-L41-(L39*L40)),0)</f>
        <v>0</v>
      </c>
      <c r="M45" s="126"/>
      <c r="N45" s="124">
        <f>ROUND((+N42-N41-(N39*N40)),0)</f>
        <v>0</v>
      </c>
      <c r="O45" s="129">
        <f>ROUND((+O42-O41-(O39*O40)),0)</f>
        <v>0</v>
      </c>
      <c r="P45" s="129">
        <f>ROUND((+P42-P41-(P39*P40)),0)</f>
        <v>0</v>
      </c>
      <c r="Q45" s="129">
        <f>ROUND((+Q42-Q41-(Q39*Q40)),0)</f>
        <v>0</v>
      </c>
      <c r="R45" s="242"/>
      <c r="S45" s="124">
        <f>ROUND((+S42-S41-(S39*S40)),0)</f>
        <v>0</v>
      </c>
      <c r="T45" s="129">
        <f>ROUND((+T42-T41-(T39*T40)),0)</f>
        <v>0</v>
      </c>
      <c r="U45" s="129">
        <f>ROUND((+U42-U41-(U39*U40)),0)</f>
        <v>0</v>
      </c>
      <c r="V45" s="129">
        <f>ROUND((+V42-V41-(V39*V40)),0)</f>
        <v>0</v>
      </c>
      <c r="W45" s="242"/>
    </row>
    <row r="46" spans="1:25" s="20" customFormat="1" outlineLevel="1" x14ac:dyDescent="0.25">
      <c r="A46" s="193"/>
      <c r="B46" s="154" t="s">
        <v>83</v>
      </c>
      <c r="C46" s="145"/>
      <c r="D46" s="155">
        <v>5.5E-2</v>
      </c>
      <c r="E46" s="155">
        <v>6.3E-2</v>
      </c>
      <c r="F46" s="155">
        <v>7.9000000000000001E-2</v>
      </c>
      <c r="G46" s="155">
        <v>7.4999999999999997E-2</v>
      </c>
      <c r="H46" s="156">
        <v>6.8000000000000005E-2</v>
      </c>
      <c r="I46" s="155">
        <v>4.2000000000000003E-2</v>
      </c>
      <c r="J46" s="155">
        <v>0.08</v>
      </c>
      <c r="K46" s="155">
        <v>4.8000000000000001E-2</v>
      </c>
      <c r="L46" s="155">
        <v>3.2000000000000001E-2</v>
      </c>
      <c r="M46" s="194">
        <f>+M40/H40-1</f>
        <v>5.1079608414500433E-2</v>
      </c>
      <c r="N46" s="195">
        <v>2.5000000000000001E-2</v>
      </c>
      <c r="O46" s="195">
        <v>0.03</v>
      </c>
      <c r="P46" s="195">
        <v>3.5999999999999997E-2</v>
      </c>
      <c r="Q46" s="157">
        <v>4.2999999999999997E-2</v>
      </c>
      <c r="R46" s="194">
        <f>+R40/M40-1</f>
        <v>3.3279205040955162E-2</v>
      </c>
      <c r="S46" s="157">
        <v>4.1000000000000002E-2</v>
      </c>
      <c r="T46" s="157">
        <v>3.6999999999999998E-2</v>
      </c>
      <c r="U46" s="157">
        <v>3.6999999999999998E-2</v>
      </c>
      <c r="V46" s="157">
        <v>3.4000000000000002E-2</v>
      </c>
      <c r="W46" s="194">
        <f>+W40/R40-1</f>
        <v>3.7257529352729302E-2</v>
      </c>
    </row>
    <row r="47" spans="1:25" s="20" customFormat="1" outlineLevel="1" x14ac:dyDescent="0.25">
      <c r="A47" s="193"/>
      <c r="B47" s="41" t="s">
        <v>86</v>
      </c>
      <c r="C47" s="142"/>
      <c r="D47" s="192">
        <v>380.8</v>
      </c>
      <c r="E47" s="192">
        <v>441.8</v>
      </c>
      <c r="F47" s="192">
        <v>389.5</v>
      </c>
      <c r="G47" s="192">
        <v>366.5</v>
      </c>
      <c r="H47" s="47">
        <v>1578.6</v>
      </c>
      <c r="I47" s="192">
        <v>375.9</v>
      </c>
      <c r="J47" s="192">
        <v>455.4</v>
      </c>
      <c r="K47" s="192">
        <v>394.8</v>
      </c>
      <c r="L47" s="192">
        <v>394.8</v>
      </c>
      <c r="M47" s="47">
        <v>1620.8</v>
      </c>
      <c r="N47" s="192">
        <v>390</v>
      </c>
      <c r="O47" s="39">
        <v>455.5</v>
      </c>
      <c r="P47" s="39">
        <v>400.9</v>
      </c>
      <c r="Q47" s="37"/>
      <c r="R47" s="243"/>
      <c r="S47" s="37"/>
      <c r="T47" s="37"/>
      <c r="U47" s="37"/>
      <c r="V47" s="37"/>
      <c r="W47" s="243"/>
      <c r="X47" s="151"/>
      <c r="Y47" s="151"/>
    </row>
    <row r="48" spans="1:25" s="20" customFormat="1" outlineLevel="1" x14ac:dyDescent="0.25">
      <c r="A48" s="193"/>
      <c r="B48" s="64" t="s">
        <v>84</v>
      </c>
      <c r="C48" s="142"/>
      <c r="D48" s="44">
        <v>1.4999999999999999E-2</v>
      </c>
      <c r="E48" s="44">
        <v>2.5999999999999999E-2</v>
      </c>
      <c r="F48" s="44">
        <v>2.7E-2</v>
      </c>
      <c r="G48" s="44"/>
      <c r="H48" s="65">
        <v>2.1999999999999999E-2</v>
      </c>
      <c r="I48" s="44">
        <v>-1.4999999999999999E-2</v>
      </c>
      <c r="J48" s="44">
        <v>2.9000000000000001E-2</v>
      </c>
      <c r="K48" s="44">
        <v>1.2E-2</v>
      </c>
      <c r="L48" s="44"/>
      <c r="M48" s="47"/>
      <c r="N48" s="44">
        <f>N47/I47-1</f>
        <v>3.7509976057462202E-2</v>
      </c>
      <c r="O48" s="44">
        <f>O47/J47-1</f>
        <v>2.1958717610903733E-4</v>
      </c>
      <c r="P48" s="44">
        <f>P47/K47-1</f>
        <v>1.5450861195541954E-2</v>
      </c>
      <c r="Q48" s="34"/>
      <c r="R48" s="120"/>
      <c r="S48" s="34"/>
      <c r="T48" s="34"/>
      <c r="U48" s="34"/>
      <c r="V48" s="34"/>
      <c r="W48" s="120"/>
    </row>
    <row r="49" spans="1:23" s="20" customFormat="1" outlineLevel="1" x14ac:dyDescent="0.25">
      <c r="A49" s="193"/>
      <c r="B49" s="41" t="s">
        <v>87</v>
      </c>
      <c r="C49" s="142"/>
      <c r="D49" s="39">
        <v>62.39</v>
      </c>
      <c r="E49" s="39">
        <v>63.05</v>
      </c>
      <c r="F49" s="39">
        <v>62.84</v>
      </c>
      <c r="G49" s="39">
        <v>64</v>
      </c>
      <c r="H49" s="141">
        <v>63.06</v>
      </c>
      <c r="I49" s="39">
        <v>66.02</v>
      </c>
      <c r="J49" s="39">
        <v>66.2</v>
      </c>
      <c r="K49" s="39">
        <v>65.11</v>
      </c>
      <c r="L49" s="39">
        <v>65.59</v>
      </c>
      <c r="M49" s="141">
        <v>65.739999999999995</v>
      </c>
      <c r="N49" s="39">
        <v>67.31</v>
      </c>
      <c r="O49" s="39">
        <v>67.31</v>
      </c>
      <c r="P49" s="39">
        <v>66.36</v>
      </c>
      <c r="Q49" s="37"/>
      <c r="R49" s="150"/>
      <c r="S49" s="37"/>
      <c r="T49" s="37"/>
      <c r="U49" s="37"/>
      <c r="V49" s="37"/>
      <c r="W49" s="150"/>
    </row>
    <row r="50" spans="1:23" s="20" customFormat="1" outlineLevel="1" x14ac:dyDescent="0.25">
      <c r="A50" s="193"/>
      <c r="B50" s="64" t="s">
        <v>85</v>
      </c>
      <c r="C50" s="142"/>
      <c r="D50" s="44">
        <v>3.9E-2</v>
      </c>
      <c r="E50" s="44">
        <v>3.5999999999999997E-2</v>
      </c>
      <c r="F50" s="44">
        <v>5.0999999999999997E-2</v>
      </c>
      <c r="G50" s="44"/>
      <c r="H50" s="65">
        <v>4.4999999999999998E-2</v>
      </c>
      <c r="I50" s="44">
        <v>5.8000000000000003E-2</v>
      </c>
      <c r="J50" s="44">
        <v>4.9000000000000002E-2</v>
      </c>
      <c r="K50" s="44">
        <v>3.5000000000000003E-2</v>
      </c>
      <c r="L50" s="44"/>
      <c r="M50" s="47"/>
      <c r="N50" s="44">
        <f>N49/I49-1</f>
        <v>1.9539533474704829E-2</v>
      </c>
      <c r="O50" s="44">
        <f>O49/J49-1</f>
        <v>1.6767371601208447E-2</v>
      </c>
      <c r="P50" s="44">
        <f>P49/K49-1</f>
        <v>1.9198279834126808E-2</v>
      </c>
      <c r="Q50" s="34"/>
      <c r="R50" s="120"/>
      <c r="S50" s="34"/>
      <c r="T50" s="34"/>
      <c r="U50" s="200"/>
      <c r="V50" s="34"/>
      <c r="W50" s="120"/>
    </row>
    <row r="51" spans="1:23" s="20" customFormat="1" outlineLevel="1" x14ac:dyDescent="0.25">
      <c r="A51" s="193"/>
      <c r="B51" s="158" t="s">
        <v>82</v>
      </c>
      <c r="C51" s="159"/>
      <c r="D51" s="160">
        <v>394.17</v>
      </c>
      <c r="E51" s="160">
        <v>464.38</v>
      </c>
      <c r="F51" s="160">
        <v>412.49</v>
      </c>
      <c r="G51" s="160">
        <v>394.87</v>
      </c>
      <c r="H51" s="161">
        <v>417.02</v>
      </c>
      <c r="I51" s="160">
        <v>412.03</v>
      </c>
      <c r="J51" s="160">
        <v>504.2</v>
      </c>
      <c r="K51" s="160">
        <v>433.99</v>
      </c>
      <c r="L51" s="160">
        <v>414.17</v>
      </c>
      <c r="M51" s="161">
        <v>446.86</v>
      </c>
      <c r="N51" s="160">
        <v>435.18</v>
      </c>
      <c r="O51" s="202">
        <v>509.55</v>
      </c>
      <c r="P51" s="202">
        <v>449.17</v>
      </c>
      <c r="Q51" s="133"/>
      <c r="R51" s="162"/>
      <c r="S51" s="133"/>
      <c r="T51" s="133"/>
      <c r="U51" s="133"/>
      <c r="V51" s="133"/>
      <c r="W51" s="162"/>
    </row>
    <row r="52" spans="1:23" ht="18" x14ac:dyDescent="0.4">
      <c r="A52" s="191"/>
      <c r="B52" s="218" t="s">
        <v>37</v>
      </c>
      <c r="C52" s="219"/>
      <c r="D52" s="24" t="s">
        <v>39</v>
      </c>
      <c r="E52" s="24" t="s">
        <v>40</v>
      </c>
      <c r="F52" s="24" t="s">
        <v>41</v>
      </c>
      <c r="G52" s="24" t="s">
        <v>42</v>
      </c>
      <c r="H52" s="67" t="s">
        <v>43</v>
      </c>
      <c r="I52" s="24" t="s">
        <v>44</v>
      </c>
      <c r="J52" s="24" t="s">
        <v>45</v>
      </c>
      <c r="K52" s="24" t="s">
        <v>46</v>
      </c>
      <c r="L52" s="24" t="s">
        <v>47</v>
      </c>
      <c r="M52" s="67" t="s">
        <v>48</v>
      </c>
      <c r="N52" s="24" t="s">
        <v>49</v>
      </c>
      <c r="O52" s="24" t="s">
        <v>125</v>
      </c>
      <c r="P52" s="24" t="s">
        <v>126</v>
      </c>
      <c r="Q52" s="22" t="s">
        <v>118</v>
      </c>
      <c r="R52" s="69" t="s">
        <v>119</v>
      </c>
      <c r="S52" s="22" t="s">
        <v>120</v>
      </c>
      <c r="T52" s="22" t="s">
        <v>121</v>
      </c>
      <c r="U52" s="22" t="s">
        <v>122</v>
      </c>
      <c r="V52" s="22" t="s">
        <v>123</v>
      </c>
      <c r="W52" s="69" t="s">
        <v>124</v>
      </c>
    </row>
    <row r="53" spans="1:23" s="135" customFormat="1" ht="15.6" customHeight="1" x14ac:dyDescent="0.25">
      <c r="A53" s="197"/>
      <c r="B53" s="122" t="s">
        <v>95</v>
      </c>
      <c r="C53" s="136"/>
      <c r="D53" s="124">
        <f t="shared" ref="D53:W53" si="47">+D42-D14</f>
        <v>0</v>
      </c>
      <c r="E53" s="124">
        <f t="shared" si="47"/>
        <v>0</v>
      </c>
      <c r="F53" s="124">
        <f t="shared" si="47"/>
        <v>0</v>
      </c>
      <c r="G53" s="124">
        <f t="shared" si="47"/>
        <v>0</v>
      </c>
      <c r="H53" s="126">
        <f t="shared" si="47"/>
        <v>0</v>
      </c>
      <c r="I53" s="124">
        <f t="shared" si="47"/>
        <v>0</v>
      </c>
      <c r="J53" s="124">
        <f t="shared" si="47"/>
        <v>0</v>
      </c>
      <c r="K53" s="124">
        <f t="shared" si="47"/>
        <v>0</v>
      </c>
      <c r="L53" s="124">
        <f t="shared" si="47"/>
        <v>0</v>
      </c>
      <c r="M53" s="126">
        <f t="shared" si="47"/>
        <v>0</v>
      </c>
      <c r="N53" s="124">
        <f t="shared" si="47"/>
        <v>0</v>
      </c>
      <c r="O53" s="124">
        <f t="shared" si="47"/>
        <v>0</v>
      </c>
      <c r="P53" s="124">
        <f t="shared" si="47"/>
        <v>0</v>
      </c>
      <c r="Q53" s="124">
        <f t="shared" si="47"/>
        <v>0</v>
      </c>
      <c r="R53" s="126">
        <f t="shared" si="47"/>
        <v>0</v>
      </c>
      <c r="S53" s="124">
        <f t="shared" si="47"/>
        <v>0</v>
      </c>
      <c r="T53" s="124">
        <f t="shared" si="47"/>
        <v>0</v>
      </c>
      <c r="U53" s="124">
        <f t="shared" si="47"/>
        <v>0</v>
      </c>
      <c r="V53" s="124">
        <f t="shared" si="47"/>
        <v>0</v>
      </c>
      <c r="W53" s="126">
        <f t="shared" si="47"/>
        <v>0</v>
      </c>
    </row>
    <row r="54" spans="1:23" ht="15" customHeight="1" x14ac:dyDescent="0.4">
      <c r="A54" s="191"/>
      <c r="B54" s="218" t="s">
        <v>15</v>
      </c>
      <c r="C54" s="219"/>
      <c r="D54" s="24" t="s">
        <v>39</v>
      </c>
      <c r="E54" s="24" t="s">
        <v>40</v>
      </c>
      <c r="F54" s="24" t="s">
        <v>41</v>
      </c>
      <c r="G54" s="24" t="s">
        <v>42</v>
      </c>
      <c r="H54" s="67" t="s">
        <v>43</v>
      </c>
      <c r="I54" s="24" t="s">
        <v>44</v>
      </c>
      <c r="J54" s="24" t="s">
        <v>45</v>
      </c>
      <c r="K54" s="24" t="s">
        <v>46</v>
      </c>
      <c r="L54" s="24" t="s">
        <v>47</v>
      </c>
      <c r="M54" s="67" t="s">
        <v>48</v>
      </c>
      <c r="N54" s="24" t="s">
        <v>49</v>
      </c>
      <c r="O54" s="24" t="s">
        <v>125</v>
      </c>
      <c r="P54" s="24" t="s">
        <v>126</v>
      </c>
      <c r="Q54" s="22" t="s">
        <v>118</v>
      </c>
      <c r="R54" s="69" t="s">
        <v>119</v>
      </c>
      <c r="S54" s="22" t="s">
        <v>120</v>
      </c>
      <c r="T54" s="22" t="s">
        <v>121</v>
      </c>
      <c r="U54" s="22" t="s">
        <v>122</v>
      </c>
      <c r="V54" s="22" t="s">
        <v>123</v>
      </c>
      <c r="W54" s="69" t="s">
        <v>124</v>
      </c>
    </row>
    <row r="55" spans="1:23" s="36" customFormat="1" outlineLevel="1" x14ac:dyDescent="0.25">
      <c r="A55" s="198"/>
      <c r="B55" s="216" t="s">
        <v>93</v>
      </c>
      <c r="C55" s="217"/>
      <c r="D55" s="44">
        <f t="shared" ref="D55:P55" si="48">(D16/D14)</f>
        <v>0.34135722359442372</v>
      </c>
      <c r="E55" s="44">
        <f t="shared" si="48"/>
        <v>0.3365945638252455</v>
      </c>
      <c r="F55" s="44">
        <f t="shared" si="48"/>
        <v>0.34556061695836332</v>
      </c>
      <c r="G55" s="44">
        <f t="shared" si="48"/>
        <v>0.33886027718460832</v>
      </c>
      <c r="H55" s="46">
        <f t="shared" si="48"/>
        <v>0.34048204233727108</v>
      </c>
      <c r="I55" s="44">
        <f t="shared" si="48"/>
        <v>0.34541227402092434</v>
      </c>
      <c r="J55" s="44">
        <f t="shared" si="48"/>
        <v>0.34024882644519583</v>
      </c>
      <c r="K55" s="44">
        <f t="shared" si="48"/>
        <v>0.34792031024256709</v>
      </c>
      <c r="L55" s="44">
        <f t="shared" si="48"/>
        <v>0.34075723830734966</v>
      </c>
      <c r="M55" s="46">
        <f t="shared" si="48"/>
        <v>0.34342855558533497</v>
      </c>
      <c r="N55" s="44">
        <f t="shared" si="48"/>
        <v>0.34179902202342594</v>
      </c>
      <c r="O55" s="44">
        <f t="shared" si="48"/>
        <v>0.33827296604948281</v>
      </c>
      <c r="P55" s="44">
        <f t="shared" si="48"/>
        <v>0.34481871946515813</v>
      </c>
      <c r="Q55" s="50">
        <v>0.32</v>
      </c>
      <c r="R55" s="199">
        <f>(R16/R14)</f>
        <v>0.33646294352698392</v>
      </c>
      <c r="S55" s="50">
        <v>0.34</v>
      </c>
      <c r="T55" s="50">
        <v>0.33600000000000002</v>
      </c>
      <c r="U55" s="50">
        <v>0.34360000000000002</v>
      </c>
      <c r="V55" s="50">
        <f>Q55</f>
        <v>0.32</v>
      </c>
      <c r="W55" s="46">
        <f>(W16/W14)</f>
        <v>0.33510967965712296</v>
      </c>
    </row>
    <row r="56" spans="1:23" s="36" customFormat="1" outlineLevel="1" x14ac:dyDescent="0.25">
      <c r="A56" s="198"/>
      <c r="B56" s="58" t="s">
        <v>94</v>
      </c>
      <c r="C56" s="59"/>
      <c r="D56" s="44">
        <f t="shared" ref="D56:P56" si="49">D17/D14</f>
        <v>0.1825679239753841</v>
      </c>
      <c r="E56" s="44">
        <f t="shared" si="49"/>
        <v>0.16184004553863668</v>
      </c>
      <c r="F56" s="44">
        <f t="shared" si="49"/>
        <v>0.18037241269080156</v>
      </c>
      <c r="G56" s="44">
        <f t="shared" si="49"/>
        <v>0.18590629317924884</v>
      </c>
      <c r="H56" s="46">
        <f t="shared" si="49"/>
        <v>0.17703956235629906</v>
      </c>
      <c r="I56" s="44">
        <f t="shared" si="49"/>
        <v>0.19156612017477051</v>
      </c>
      <c r="J56" s="44">
        <f t="shared" si="49"/>
        <v>0.16426484587860685</v>
      </c>
      <c r="K56" s="44">
        <f t="shared" si="49"/>
        <v>0.18279978708843433</v>
      </c>
      <c r="L56" s="44">
        <f t="shared" si="49"/>
        <v>0.18579895058699181</v>
      </c>
      <c r="M56" s="46">
        <f t="shared" si="49"/>
        <v>0.18033695923403234</v>
      </c>
      <c r="N56" s="44">
        <f t="shared" si="49"/>
        <v>0.18725597968234714</v>
      </c>
      <c r="O56" s="44">
        <f t="shared" si="49"/>
        <v>0.16355912967346542</v>
      </c>
      <c r="P56" s="44">
        <f t="shared" si="49"/>
        <v>0.18153767035227564</v>
      </c>
      <c r="Q56" s="50">
        <v>0.17899999999999999</v>
      </c>
      <c r="R56" s="199"/>
      <c r="S56" s="50">
        <v>0.18438641479258872</v>
      </c>
      <c r="T56" s="50">
        <v>0.1607004258910594</v>
      </c>
      <c r="U56" s="50">
        <v>0.17799999999999999</v>
      </c>
      <c r="V56" s="50">
        <v>0.182</v>
      </c>
      <c r="W56" s="46"/>
    </row>
    <row r="57" spans="1:23" s="36" customFormat="1" outlineLevel="1" x14ac:dyDescent="0.25">
      <c r="A57" s="198"/>
      <c r="B57" s="216" t="s">
        <v>4</v>
      </c>
      <c r="C57" s="217"/>
      <c r="D57" s="44">
        <f t="shared" ref="D57:W57" si="50">D21/D14</f>
        <v>0.14020178339682673</v>
      </c>
      <c r="E57" s="44">
        <f t="shared" si="50"/>
        <v>0.15878041838622456</v>
      </c>
      <c r="F57" s="44">
        <f t="shared" si="50"/>
        <v>0.14704707104611203</v>
      </c>
      <c r="G57" s="44">
        <f t="shared" si="50"/>
        <v>0.13352593895239293</v>
      </c>
      <c r="H57" s="46">
        <f t="shared" si="50"/>
        <v>0.14549472766193611</v>
      </c>
      <c r="I57" s="44">
        <f t="shared" si="50"/>
        <v>0.13552731791397762</v>
      </c>
      <c r="J57" s="44">
        <f t="shared" si="50"/>
        <v>0.16088369497423102</v>
      </c>
      <c r="K57" s="44">
        <f t="shared" si="50"/>
        <v>0.14713709984031634</v>
      </c>
      <c r="L57" s="44">
        <f t="shared" si="50"/>
        <v>0.12751500509607036</v>
      </c>
      <c r="M57" s="46">
        <f t="shared" si="50"/>
        <v>0.14352651959742335</v>
      </c>
      <c r="N57" s="44">
        <f t="shared" si="50"/>
        <v>0.13634812933550661</v>
      </c>
      <c r="O57" s="44">
        <f t="shared" si="50"/>
        <v>0.15876001167353027</v>
      </c>
      <c r="P57" s="44">
        <f t="shared" si="50"/>
        <v>0.14498769422914448</v>
      </c>
      <c r="Q57" s="44">
        <f t="shared" si="50"/>
        <v>0.11789589728373695</v>
      </c>
      <c r="R57" s="199">
        <f t="shared" si="50"/>
        <v>0.14044112772502426</v>
      </c>
      <c r="S57" s="44">
        <f t="shared" si="50"/>
        <v>0.13447408121443244</v>
      </c>
      <c r="T57" s="44">
        <f t="shared" si="50"/>
        <v>0.15674470103793306</v>
      </c>
      <c r="U57" s="44">
        <f t="shared" si="50"/>
        <v>0.14407272902286664</v>
      </c>
      <c r="V57" s="44">
        <f t="shared" si="50"/>
        <v>0.11530337293415745</v>
      </c>
      <c r="W57" s="199">
        <f t="shared" si="50"/>
        <v>0.13860774980794502</v>
      </c>
    </row>
    <row r="58" spans="1:23" s="36" customFormat="1" outlineLevel="1" x14ac:dyDescent="0.25">
      <c r="A58" s="198"/>
      <c r="B58" s="216" t="s">
        <v>2</v>
      </c>
      <c r="C58" s="217"/>
      <c r="D58" s="44">
        <f t="shared" ref="D58:P58" si="51">D27/D26</f>
        <v>0.35199485199485198</v>
      </c>
      <c r="E58" s="44">
        <f t="shared" si="51"/>
        <v>0.36592311343141909</v>
      </c>
      <c r="F58" s="44">
        <f t="shared" si="51"/>
        <v>0.36935624817943491</v>
      </c>
      <c r="G58" s="44">
        <f t="shared" si="51"/>
        <v>0.39551478083588176</v>
      </c>
      <c r="H58" s="46">
        <f t="shared" si="51"/>
        <v>0.36998101912687986</v>
      </c>
      <c r="I58" s="44">
        <f t="shared" si="51"/>
        <v>0.23488224061107574</v>
      </c>
      <c r="J58" s="44">
        <f t="shared" si="51"/>
        <v>0.24683136412459722</v>
      </c>
      <c r="K58" s="44">
        <f t="shared" si="51"/>
        <v>0.21365880416895228</v>
      </c>
      <c r="L58" s="44">
        <f t="shared" si="51"/>
        <v>0.24702858978477352</v>
      </c>
      <c r="M58" s="46">
        <f t="shared" si="51"/>
        <v>0.23598516075845014</v>
      </c>
      <c r="N58" s="44">
        <f t="shared" si="51"/>
        <v>0.24398315282791816</v>
      </c>
      <c r="O58" s="44">
        <f t="shared" si="51"/>
        <v>0.24582701062215478</v>
      </c>
      <c r="P58" s="44">
        <f t="shared" si="51"/>
        <v>0.24488682847013907</v>
      </c>
      <c r="Q58" s="50">
        <v>0.255</v>
      </c>
      <c r="R58" s="199">
        <f>R27/R26</f>
        <v>0.24691887093953724</v>
      </c>
      <c r="S58" s="50">
        <v>0.25</v>
      </c>
      <c r="T58" s="50">
        <v>0.25</v>
      </c>
      <c r="U58" s="50">
        <v>0.25</v>
      </c>
      <c r="V58" s="50">
        <v>0.25</v>
      </c>
      <c r="W58" s="46">
        <f>W27/W26</f>
        <v>0.25000000000000006</v>
      </c>
    </row>
    <row r="59" spans="1:23" s="36" customFormat="1" hidden="1" outlineLevel="1" x14ac:dyDescent="0.25">
      <c r="A59" s="198"/>
      <c r="B59" s="216"/>
      <c r="C59" s="217"/>
      <c r="D59" s="44"/>
      <c r="E59" s="44"/>
      <c r="F59" s="44"/>
      <c r="G59" s="44"/>
      <c r="H59" s="46"/>
      <c r="I59" s="44"/>
      <c r="J59" s="44"/>
      <c r="K59" s="44"/>
      <c r="L59" s="44"/>
      <c r="M59" s="46"/>
      <c r="N59" s="44"/>
      <c r="O59" s="44"/>
      <c r="P59" s="44"/>
      <c r="Q59" s="50"/>
      <c r="R59" s="46"/>
      <c r="S59" s="50"/>
      <c r="T59" s="50"/>
      <c r="U59" s="50"/>
      <c r="V59" s="50"/>
      <c r="W59" s="46"/>
    </row>
    <row r="60" spans="1:23" s="36" customFormat="1" hidden="1" outlineLevel="1" x14ac:dyDescent="0.25">
      <c r="A60" s="198"/>
      <c r="B60" s="216"/>
      <c r="C60" s="217"/>
      <c r="D60" s="44"/>
      <c r="E60" s="44"/>
      <c r="F60" s="44"/>
      <c r="G60" s="44"/>
      <c r="H60" s="46"/>
      <c r="I60" s="44"/>
      <c r="J60" s="44"/>
      <c r="K60" s="44"/>
      <c r="L60" s="44"/>
      <c r="M60" s="46"/>
      <c r="N60" s="44"/>
      <c r="O60" s="44"/>
      <c r="P60" s="44"/>
      <c r="Q60" s="50"/>
      <c r="R60" s="46"/>
      <c r="S60" s="50"/>
      <c r="T60" s="50"/>
      <c r="U60" s="50"/>
      <c r="V60" s="50"/>
      <c r="W60" s="46"/>
    </row>
    <row r="61" spans="1:23" ht="18" x14ac:dyDescent="0.4">
      <c r="A61" s="191"/>
      <c r="B61" s="218" t="s">
        <v>57</v>
      </c>
      <c r="C61" s="219"/>
      <c r="D61" s="24" t="s">
        <v>39</v>
      </c>
      <c r="E61" s="24" t="s">
        <v>40</v>
      </c>
      <c r="F61" s="24" t="s">
        <v>41</v>
      </c>
      <c r="G61" s="24" t="s">
        <v>42</v>
      </c>
      <c r="H61" s="67" t="s">
        <v>43</v>
      </c>
      <c r="I61" s="24" t="s">
        <v>44</v>
      </c>
      <c r="J61" s="24" t="s">
        <v>45</v>
      </c>
      <c r="K61" s="24" t="s">
        <v>46</v>
      </c>
      <c r="L61" s="24" t="s">
        <v>47</v>
      </c>
      <c r="M61" s="67" t="s">
        <v>48</v>
      </c>
      <c r="N61" s="24" t="s">
        <v>49</v>
      </c>
      <c r="O61" s="24" t="s">
        <v>125</v>
      </c>
      <c r="P61" s="24" t="s">
        <v>126</v>
      </c>
      <c r="Q61" s="22" t="s">
        <v>118</v>
      </c>
      <c r="R61" s="69" t="s">
        <v>119</v>
      </c>
      <c r="S61" s="22" t="s">
        <v>120</v>
      </c>
      <c r="T61" s="22" t="s">
        <v>121</v>
      </c>
      <c r="U61" s="22" t="s">
        <v>122</v>
      </c>
      <c r="V61" s="22" t="s">
        <v>123</v>
      </c>
      <c r="W61" s="69" t="s">
        <v>124</v>
      </c>
    </row>
    <row r="62" spans="1:23" outlineLevel="1" x14ac:dyDescent="0.25">
      <c r="A62" s="191"/>
      <c r="B62" s="216" t="s">
        <v>11</v>
      </c>
      <c r="C62" s="217"/>
      <c r="D62" s="44"/>
      <c r="E62" s="44">
        <f>(E29+E66)/D29-1</f>
        <v>1.9232420701167374E-3</v>
      </c>
      <c r="F62" s="44">
        <f>(F29+F66)/E29-1</f>
        <v>-2.2148960270498286E-3</v>
      </c>
      <c r="G62" s="44">
        <f>(G29+G66)/F29-1</f>
        <v>2.9832482876712696E-3</v>
      </c>
      <c r="H62" s="45"/>
      <c r="I62" s="44">
        <f>(I29+I66)/G29-1</f>
        <v>-2.6076879310344969E-3</v>
      </c>
      <c r="J62" s="44">
        <f>(J29+J66)/I29-1</f>
        <v>1.8793888888888333E-3</v>
      </c>
      <c r="K62" s="44">
        <f>(K29+K66)/J29-1</f>
        <v>4.0584090909090431E-3</v>
      </c>
      <c r="L62" s="44">
        <f>(L29+L66)/K29-1</f>
        <v>6.0039444933919217E-3</v>
      </c>
      <c r="M62" s="21"/>
      <c r="N62" s="44">
        <f>(N29+N66)/L29-1</f>
        <v>-7.1398028673835823E-3</v>
      </c>
      <c r="O62" s="44">
        <f>(O29+O66)/N29-1</f>
        <v>1.4484105358780752E-4</v>
      </c>
      <c r="P62" s="44">
        <f>(P29+P66)/O29-1</f>
        <v>-7.4399817351589181E-4</v>
      </c>
      <c r="Q62" s="50">
        <f t="shared" ref="Q62:Q63" si="52">AVERAGE(L62,N62,O62,P62)</f>
        <v>-4.3375387347993621E-4</v>
      </c>
      <c r="R62" s="21"/>
      <c r="S62" s="50">
        <f t="shared" ref="S62:S63" si="53">AVERAGE(N62,O62,P62,Q62)</f>
        <v>-2.0431784651979007E-3</v>
      </c>
      <c r="T62" s="50">
        <f t="shared" ref="T62:T63" si="54">AVERAGE(O62,P62,Q62,S62)</f>
        <v>-7.690223646514803E-4</v>
      </c>
      <c r="U62" s="50">
        <f t="shared" ref="U62:U63" si="55">AVERAGE(P62,Q62,S62,T62)</f>
        <v>-9.9748821921130226E-4</v>
      </c>
      <c r="V62" s="50">
        <f t="shared" ref="V62:V63" si="56">AVERAGE(Q62,S62,T62,U62)</f>
        <v>-1.0608607306351549E-3</v>
      </c>
      <c r="W62" s="21"/>
    </row>
    <row r="63" spans="1:23" outlineLevel="1" x14ac:dyDescent="0.25">
      <c r="A63" s="191"/>
      <c r="B63" s="216" t="s">
        <v>12</v>
      </c>
      <c r="C63" s="217"/>
      <c r="D63" s="44"/>
      <c r="E63" s="44">
        <f>(E30+E66)/D30-1</f>
        <v>1.9136578073088995E-3</v>
      </c>
      <c r="F63" s="44">
        <f>(F30+F66)/E30-1</f>
        <v>-2.203719091673717E-3</v>
      </c>
      <c r="G63" s="44">
        <f>(G30+G66)/F30-1</f>
        <v>3.8197904599659438E-3</v>
      </c>
      <c r="H63" s="45"/>
      <c r="I63" s="44">
        <f>(I30+I66)/G30-1</f>
        <v>-3.4489443016281207E-3</v>
      </c>
      <c r="J63" s="44">
        <f>(J30+J66)/I30-1</f>
        <v>1.0060932642488307E-3</v>
      </c>
      <c r="K63" s="44">
        <f>(K30+K66)/J30-1</f>
        <v>4.911070496083525E-3</v>
      </c>
      <c r="L63" s="44">
        <f>(L30+L66)/K30-1</f>
        <v>5.0959482909727072E-3</v>
      </c>
      <c r="M63" s="21"/>
      <c r="N63" s="44">
        <f>(N30+N66)/L30-1</f>
        <v>-7.1079571810883646E-3</v>
      </c>
      <c r="O63" s="44">
        <f>(O30+O66)/N30-1</f>
        <v>-7.5997287522600043E-4</v>
      </c>
      <c r="P63" s="44">
        <f>(P30+P66)/O30-1</f>
        <v>1.6862784349402915E-4</v>
      </c>
      <c r="Q63" s="50">
        <f t="shared" si="52"/>
        <v>-6.5083848046190718E-4</v>
      </c>
      <c r="R63" s="18"/>
      <c r="S63" s="50">
        <f t="shared" si="53"/>
        <v>-2.0875351733205608E-3</v>
      </c>
      <c r="T63" s="50">
        <f t="shared" si="54"/>
        <v>-8.3242967137860981E-4</v>
      </c>
      <c r="U63" s="50">
        <f t="shared" si="55"/>
        <v>-8.5054387041676215E-4</v>
      </c>
      <c r="V63" s="50">
        <f t="shared" si="56"/>
        <v>-1.1053367988944599E-3</v>
      </c>
      <c r="W63" s="21"/>
    </row>
    <row r="64" spans="1:23" outlineLevel="1" x14ac:dyDescent="0.25">
      <c r="A64" s="191"/>
      <c r="B64" s="216" t="s">
        <v>5</v>
      </c>
      <c r="C64" s="217"/>
      <c r="D64" s="51">
        <v>147.72</v>
      </c>
      <c r="E64" s="51">
        <v>152.74</v>
      </c>
      <c r="F64" s="51">
        <v>154.91</v>
      </c>
      <c r="G64" s="51">
        <v>192</v>
      </c>
      <c r="H64" s="54"/>
      <c r="I64" s="51">
        <v>178.82</v>
      </c>
      <c r="J64" s="51">
        <v>185.52</v>
      </c>
      <c r="K64" s="51">
        <v>198.48</v>
      </c>
      <c r="L64" s="189">
        <v>174.78</v>
      </c>
      <c r="M64" s="54"/>
      <c r="N64" s="189">
        <v>191.75</v>
      </c>
      <c r="O64" s="51">
        <v>203.43</v>
      </c>
      <c r="P64" s="189">
        <v>222.49</v>
      </c>
      <c r="Q64" s="53">
        <f>+P64</f>
        <v>222.49</v>
      </c>
      <c r="R64" s="52"/>
      <c r="S64" s="53">
        <f>+Q64</f>
        <v>222.49</v>
      </c>
      <c r="T64" s="53">
        <f>+S64</f>
        <v>222.49</v>
      </c>
      <c r="U64" s="53">
        <f>+T64</f>
        <v>222.49</v>
      </c>
      <c r="V64" s="53">
        <f>+U64</f>
        <v>222.49</v>
      </c>
      <c r="W64" s="52"/>
    </row>
    <row r="65" spans="1:23" outlineLevel="1" x14ac:dyDescent="0.25">
      <c r="A65" s="191"/>
      <c r="B65" s="216" t="s">
        <v>6</v>
      </c>
      <c r="C65" s="217"/>
      <c r="D65" s="26">
        <v>1361.36344164</v>
      </c>
      <c r="E65" s="26">
        <v>2643.0196805600003</v>
      </c>
      <c r="F65" s="26">
        <v>1917.7514099799998</v>
      </c>
      <c r="G65" s="26">
        <v>2205.011328</v>
      </c>
      <c r="H65" s="27">
        <f>SUM(D65:G65)</f>
        <v>8127.1458601800005</v>
      </c>
      <c r="I65" s="26">
        <v>889.64416323999978</v>
      </c>
      <c r="J65" s="26">
        <v>1885.8211891199999</v>
      </c>
      <c r="K65" s="26">
        <v>2707.8269135999999</v>
      </c>
      <c r="L65" s="183">
        <v>4511.8542900599996</v>
      </c>
      <c r="M65" s="27">
        <f>SUM(I65:L65)</f>
        <v>9995.1465560199977</v>
      </c>
      <c r="N65" s="183">
        <v>1348.3821649999998</v>
      </c>
      <c r="O65" s="26">
        <v>1253.0209820999999</v>
      </c>
      <c r="P65" s="183">
        <v>1153.6822917800002</v>
      </c>
      <c r="Q65" s="49">
        <v>1200</v>
      </c>
      <c r="R65" s="203">
        <f>+SUM(N65:Q65)</f>
        <v>4955.0854388799999</v>
      </c>
      <c r="S65" s="49">
        <v>500</v>
      </c>
      <c r="T65" s="49">
        <v>500</v>
      </c>
      <c r="U65" s="49">
        <v>500</v>
      </c>
      <c r="V65" s="49">
        <v>500</v>
      </c>
      <c r="W65" s="27">
        <f>+SUM(S65:V65)</f>
        <v>2000</v>
      </c>
    </row>
    <row r="66" spans="1:23" outlineLevel="1" x14ac:dyDescent="0.25">
      <c r="A66" s="191"/>
      <c r="B66" s="214" t="s">
        <v>16</v>
      </c>
      <c r="C66" s="215"/>
      <c r="D66" s="55">
        <f>IF((D65)&gt;0,(D65/D64),0)</f>
        <v>9.2158370000000005</v>
      </c>
      <c r="E66" s="55">
        <f>IF((E65)&gt;0,(E65/E64),0)</f>
        <v>17.304044000000001</v>
      </c>
      <c r="F66" s="55">
        <f>IF((F65)&gt;0,(F65/F64),0)</f>
        <v>12.379778</v>
      </c>
      <c r="G66" s="55">
        <f>IF((G65)&gt;0,(G65/G64),0)</f>
        <v>11.484434</v>
      </c>
      <c r="H66" s="108">
        <f>+SUM(D66:G66)</f>
        <v>50.384093</v>
      </c>
      <c r="I66" s="55">
        <f>IF((I65)&gt;0,(I65/I64),0)</f>
        <v>4.9750819999999987</v>
      </c>
      <c r="J66" s="55">
        <f>IF((J65)&gt;0,(J65/J64),0)</f>
        <v>10.165055999999998</v>
      </c>
      <c r="K66" s="55">
        <f>IF((K65)&gt;0,(K65/K64),0)</f>
        <v>13.64282</v>
      </c>
      <c r="L66" s="190">
        <f>IF((L65)&gt;0,(L65/L64),0)</f>
        <v>25.814476999999997</v>
      </c>
      <c r="M66" s="108">
        <f>+SUM(I66:L66)</f>
        <v>54.59743499999999</v>
      </c>
      <c r="N66" s="190">
        <f>IF((N65)&gt;0,(N65/N64),0)</f>
        <v>7.031979999999999</v>
      </c>
      <c r="O66" s="55">
        <f>IF((O65)&gt;0,(O65/O64),0)</f>
        <v>6.1594699999999989</v>
      </c>
      <c r="P66" s="55">
        <f>IF((P65)&gt;0,(P65/P64),0)</f>
        <v>5.1853220000000011</v>
      </c>
      <c r="Q66" s="55">
        <f>IF((Q65)&gt;0,(Q65/Q64),0)</f>
        <v>5.393500831498045</v>
      </c>
      <c r="R66" s="108">
        <f>+SUM(N66:Q66)</f>
        <v>23.770272831498044</v>
      </c>
      <c r="S66" s="55">
        <f>IF((S65)&gt;0,(S65/S64),0)</f>
        <v>2.2472920131241851</v>
      </c>
      <c r="T66" s="55">
        <f>IF((T65)&gt;0,(T65/T64),0)</f>
        <v>2.2472920131241851</v>
      </c>
      <c r="U66" s="55">
        <f>IF((U65)&gt;0,(U65/U64),0)</f>
        <v>2.2472920131241851</v>
      </c>
      <c r="V66" s="55">
        <f>IF((V65)&gt;0,(V65/V64),0)</f>
        <v>2.2472920131241851</v>
      </c>
      <c r="W66" s="108">
        <f>+SUM(S66:V66)</f>
        <v>8.9891680524967406</v>
      </c>
    </row>
    <row r="67" spans="1:23" x14ac:dyDescent="0.25">
      <c r="B67" s="19"/>
      <c r="C67" s="19"/>
      <c r="E67" s="70"/>
      <c r="F67" s="70"/>
      <c r="G67" s="70"/>
      <c r="H67" s="70"/>
      <c r="I67" s="70"/>
      <c r="J67" s="70"/>
      <c r="K67" s="70"/>
      <c r="L67" s="70"/>
      <c r="M67" s="70"/>
      <c r="N67" s="146"/>
      <c r="P67" s="3"/>
      <c r="Q67" s="3"/>
      <c r="R67" s="70"/>
      <c r="U67" s="3"/>
      <c r="V67" s="3"/>
      <c r="W67" s="70"/>
    </row>
  </sheetData>
  <dataConsolidate/>
  <mergeCells count="34">
    <mergeCell ref="A12:A13"/>
    <mergeCell ref="B63:C63"/>
    <mergeCell ref="B62:C62"/>
    <mergeCell ref="B58:C58"/>
    <mergeCell ref="B60:C60"/>
    <mergeCell ref="B52:C52"/>
    <mergeCell ref="B27:C27"/>
    <mergeCell ref="B26:C26"/>
    <mergeCell ref="B15:C15"/>
    <mergeCell ref="B12:C12"/>
    <mergeCell ref="B36:C36"/>
    <mergeCell ref="B57:C57"/>
    <mergeCell ref="B37:C37"/>
    <mergeCell ref="B35:C35"/>
    <mergeCell ref="B42:C42"/>
    <mergeCell ref="B2:C2"/>
    <mergeCell ref="B59:C59"/>
    <mergeCell ref="B25:C25"/>
    <mergeCell ref="B3:C3"/>
    <mergeCell ref="B4:C4"/>
    <mergeCell ref="B5:C5"/>
    <mergeCell ref="B13:C13"/>
    <mergeCell ref="B32:C32"/>
    <mergeCell ref="B31:C31"/>
    <mergeCell ref="B30:C30"/>
    <mergeCell ref="B29:C29"/>
    <mergeCell ref="B28:C28"/>
    <mergeCell ref="B14:C14"/>
    <mergeCell ref="B66:C66"/>
    <mergeCell ref="B65:C65"/>
    <mergeCell ref="B54:C54"/>
    <mergeCell ref="B55:C55"/>
    <mergeCell ref="B61:C61"/>
    <mergeCell ref="B64:C64"/>
  </mergeCells>
  <pageMargins left="0.7" right="0.7" top="0.75" bottom="0.75" header="0.3" footer="0.3"/>
  <pageSetup scale="16" orientation="landscape" r:id="rId1"/>
  <headerFooter>
    <oddFooter>&amp;CGutenberg Research LLC prohibits the redistribution of this document in whole or part without the written permission. 
© Gutenberg Research LLC 2019.</oddFooter>
  </headerFooter>
  <rowBreaks count="1" manualBreakCount="1">
    <brk id="66"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3" sqref="G3"/>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9" t="s">
        <v>128</v>
      </c>
    </row>
    <row r="2" spans="2:14" x14ac:dyDescent="0.25">
      <c r="B2" s="79"/>
    </row>
    <row r="3" spans="2:14" x14ac:dyDescent="0.25">
      <c r="B3" s="7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39"/>
      <c r="I7" s="239"/>
      <c r="J7" s="239"/>
      <c r="K7" s="239"/>
      <c r="L7" s="239"/>
      <c r="M7" s="239"/>
      <c r="N7" s="239"/>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9"/>
    </row>
    <row r="41" spans="2:2" x14ac:dyDescent="0.25">
      <c r="B41" s="79"/>
    </row>
  </sheetData>
  <mergeCells count="1">
    <mergeCell ref="H7:N7"/>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RowHeight="15" x14ac:dyDescent="0.25"/>
  <cols>
    <col min="1" max="1" width="1.28515625" customWidth="1"/>
    <col min="2" max="2" width="12.28515625" customWidth="1"/>
    <col min="8" max="8" width="15.28515625" bestFit="1" customWidth="1"/>
    <col min="11" max="11" width="9.5703125" bestFit="1" customWidth="1"/>
  </cols>
  <sheetData>
    <row r="1" spans="2:11" x14ac:dyDescent="0.25">
      <c r="B1" s="208" t="s">
        <v>127</v>
      </c>
      <c r="C1" s="208"/>
    </row>
    <row r="2" spans="2:11" x14ac:dyDescent="0.25">
      <c r="B2" t="s">
        <v>19</v>
      </c>
    </row>
    <row r="3" spans="2:11" ht="45" x14ac:dyDescent="0.25">
      <c r="B3" s="80" t="s">
        <v>20</v>
      </c>
      <c r="C3" s="80" t="s">
        <v>21</v>
      </c>
      <c r="D3" s="80" t="s">
        <v>22</v>
      </c>
      <c r="E3" s="80" t="s">
        <v>23</v>
      </c>
      <c r="F3" s="80" t="s">
        <v>24</v>
      </c>
      <c r="G3" s="80" t="s">
        <v>35</v>
      </c>
      <c r="H3" s="80" t="s">
        <v>25</v>
      </c>
      <c r="I3" s="80" t="s">
        <v>26</v>
      </c>
      <c r="J3" s="80" t="s">
        <v>27</v>
      </c>
      <c r="K3" s="80" t="s">
        <v>28</v>
      </c>
    </row>
    <row r="4" spans="2:11" x14ac:dyDescent="0.25">
      <c r="B4" s="107">
        <v>43466</v>
      </c>
      <c r="C4" s="89">
        <v>169.71000699999999</v>
      </c>
      <c r="D4" s="89">
        <v>184.66999799999999</v>
      </c>
      <c r="E4" s="89">
        <v>168.21000699999999</v>
      </c>
      <c r="F4" s="89">
        <v>183.529999</v>
      </c>
      <c r="G4" s="89">
        <v>178.66381799999999</v>
      </c>
      <c r="H4" s="112">
        <v>98771800</v>
      </c>
      <c r="I4" s="113"/>
      <c r="J4" s="114"/>
      <c r="K4" s="90"/>
    </row>
    <row r="5" spans="2:11" x14ac:dyDescent="0.25">
      <c r="B5" s="84">
        <v>43497</v>
      </c>
      <c r="C5">
        <v>184.029999</v>
      </c>
      <c r="D5">
        <v>193.41999799999999</v>
      </c>
      <c r="E5">
        <v>182.449997</v>
      </c>
      <c r="F5">
        <v>185.13999899999999</v>
      </c>
      <c r="G5">
        <v>180.231155</v>
      </c>
      <c r="H5" s="1">
        <v>90471400</v>
      </c>
      <c r="I5" s="85">
        <f>+G5/G4-1</f>
        <v>8.7725484518639263E-3</v>
      </c>
      <c r="J5" s="86">
        <f t="shared" ref="J5:J16" si="0">I5-$I$17</f>
        <v>-7.5873036664025062E-3</v>
      </c>
      <c r="K5" s="98">
        <f>J5^2</f>
        <v>5.7567176926204915E-5</v>
      </c>
    </row>
    <row r="6" spans="2:11" x14ac:dyDescent="0.25">
      <c r="B6" s="84">
        <v>43525</v>
      </c>
      <c r="C6">
        <v>185.820007</v>
      </c>
      <c r="D6">
        <v>192.19000199999999</v>
      </c>
      <c r="E6">
        <v>179.520004</v>
      </c>
      <c r="F6">
        <v>191.88999899999999</v>
      </c>
      <c r="G6">
        <v>186.80216999999999</v>
      </c>
      <c r="H6" s="1">
        <v>95115500</v>
      </c>
      <c r="I6" s="85">
        <f>+G6/G5-1</f>
        <v>3.6458818676493365E-2</v>
      </c>
      <c r="J6" s="86">
        <f t="shared" si="0"/>
        <v>2.0098966558226933E-2</v>
      </c>
      <c r="K6" s="98">
        <f>J6^2</f>
        <v>4.039684567087246E-4</v>
      </c>
    </row>
    <row r="7" spans="2:11" x14ac:dyDescent="0.25">
      <c r="B7" s="84">
        <v>43556</v>
      </c>
      <c r="C7">
        <v>192.990005</v>
      </c>
      <c r="D7">
        <v>208.300003</v>
      </c>
      <c r="E7">
        <v>192.85000600000001</v>
      </c>
      <c r="F7">
        <v>203.699997</v>
      </c>
      <c r="G7">
        <v>199.77565000000001</v>
      </c>
      <c r="H7" s="1">
        <v>71203800</v>
      </c>
      <c r="I7" s="85">
        <f t="shared" ref="I7:I16" si="1">+G7/G6-1</f>
        <v>6.9450370945905116E-2</v>
      </c>
      <c r="J7" s="86">
        <f t="shared" si="0"/>
        <v>5.3090518827638683E-2</v>
      </c>
      <c r="K7" s="98">
        <f t="shared" ref="K7:K15" si="2">J7^2</f>
        <v>2.8186031893878576E-3</v>
      </c>
    </row>
    <row r="8" spans="2:11" x14ac:dyDescent="0.25">
      <c r="B8" s="84">
        <v>43586</v>
      </c>
      <c r="C8">
        <v>203.199997</v>
      </c>
      <c r="D8">
        <v>203.520004</v>
      </c>
      <c r="E8">
        <v>186.270004</v>
      </c>
      <c r="F8">
        <v>189.85000600000001</v>
      </c>
      <c r="G8">
        <v>186.192474</v>
      </c>
      <c r="H8" s="1">
        <v>94651500</v>
      </c>
      <c r="I8" s="85">
        <f t="shared" si="1"/>
        <v>-6.7992150194480683E-2</v>
      </c>
      <c r="J8" s="86">
        <f t="shared" si="0"/>
        <v>-8.4352002312747115E-2</v>
      </c>
      <c r="K8" s="98">
        <f t="shared" si="2"/>
        <v>7.1152602941696947E-3</v>
      </c>
    </row>
    <row r="9" spans="2:11" x14ac:dyDescent="0.25">
      <c r="B9" s="84">
        <v>43617</v>
      </c>
      <c r="C9">
        <v>189.520004</v>
      </c>
      <c r="D9">
        <v>211.990005</v>
      </c>
      <c r="E9">
        <v>188.75</v>
      </c>
      <c r="F9">
        <v>207.970001</v>
      </c>
      <c r="G9">
        <v>203.963379</v>
      </c>
      <c r="H9" s="1">
        <v>90786400</v>
      </c>
      <c r="I9" s="85">
        <f t="shared" si="1"/>
        <v>9.5443734208075393E-2</v>
      </c>
      <c r="J9" s="86">
        <f t="shared" si="0"/>
        <v>7.908388208980896E-2</v>
      </c>
      <c r="K9" s="98">
        <f t="shared" si="2"/>
        <v>6.254260406394806E-3</v>
      </c>
    </row>
    <row r="10" spans="2:11" x14ac:dyDescent="0.25">
      <c r="B10" s="84">
        <v>43647</v>
      </c>
      <c r="C10">
        <v>209.699997</v>
      </c>
      <c r="D10">
        <v>219.300003</v>
      </c>
      <c r="E10">
        <v>208.16999799999999</v>
      </c>
      <c r="F10">
        <v>213.69000199999999</v>
      </c>
      <c r="G10">
        <v>211.04321300000001</v>
      </c>
      <c r="H10" s="1">
        <v>64169000</v>
      </c>
      <c r="I10" s="85">
        <f t="shared" si="1"/>
        <v>3.4711299816228225E-2</v>
      </c>
      <c r="J10" s="86">
        <f t="shared" si="0"/>
        <v>1.8351447697961792E-2</v>
      </c>
      <c r="K10" s="98">
        <f t="shared" si="2"/>
        <v>3.3677563261102719E-4</v>
      </c>
    </row>
    <row r="11" spans="2:11" x14ac:dyDescent="0.25">
      <c r="B11" s="84">
        <v>43678</v>
      </c>
      <c r="C11">
        <v>214.13999899999999</v>
      </c>
      <c r="D11">
        <v>229.270004</v>
      </c>
      <c r="E11">
        <v>199.050003</v>
      </c>
      <c r="F11">
        <v>227.91000399999999</v>
      </c>
      <c r="G11">
        <v>225.08708200000001</v>
      </c>
      <c r="H11" s="1">
        <v>98962100</v>
      </c>
      <c r="I11" s="85">
        <f t="shared" si="1"/>
        <v>6.6544992375566325E-2</v>
      </c>
      <c r="J11" s="86">
        <f t="shared" si="0"/>
        <v>5.0185140257299893E-2</v>
      </c>
      <c r="K11" s="98">
        <f t="shared" si="2"/>
        <v>2.5185483026448625E-3</v>
      </c>
    </row>
    <row r="12" spans="2:11" x14ac:dyDescent="0.25">
      <c r="B12" s="84">
        <v>43709</v>
      </c>
      <c r="C12">
        <v>226.449997</v>
      </c>
      <c r="D12">
        <v>235.490005</v>
      </c>
      <c r="E12">
        <v>220.66999799999999</v>
      </c>
      <c r="F12">
        <v>232.020004</v>
      </c>
      <c r="G12">
        <v>229.146164</v>
      </c>
      <c r="H12" s="1">
        <v>75292900</v>
      </c>
      <c r="I12" s="85">
        <f t="shared" si="1"/>
        <v>1.8033384963424881E-2</v>
      </c>
      <c r="J12" s="86">
        <f t="shared" si="0"/>
        <v>1.6735328451584486E-3</v>
      </c>
      <c r="K12" s="98">
        <f t="shared" si="2"/>
        <v>2.8007121838241317E-6</v>
      </c>
    </row>
    <row r="13" spans="2:11" x14ac:dyDescent="0.25">
      <c r="B13" s="84">
        <v>43739</v>
      </c>
      <c r="C13">
        <v>233.009995</v>
      </c>
      <c r="D13">
        <v>238.990005</v>
      </c>
      <c r="E13">
        <v>222.11999499999999</v>
      </c>
      <c r="F13">
        <v>234.58000200000001</v>
      </c>
      <c r="G13">
        <v>233.089203</v>
      </c>
      <c r="H13" s="1">
        <v>62598300</v>
      </c>
      <c r="I13" s="85">
        <f t="shared" si="1"/>
        <v>1.7207527855452209E-2</v>
      </c>
      <c r="J13" s="86">
        <f t="shared" si="0"/>
        <v>8.4767573718577682E-4</v>
      </c>
      <c r="K13" s="98">
        <f t="shared" si="2"/>
        <v>7.1855415541345015E-7</v>
      </c>
    </row>
    <row r="14" spans="2:11" x14ac:dyDescent="0.25">
      <c r="B14" s="84">
        <v>43770</v>
      </c>
      <c r="C14">
        <v>236.070007</v>
      </c>
      <c r="D14">
        <v>239.30999800000001</v>
      </c>
      <c r="E14">
        <v>216.88000500000001</v>
      </c>
      <c r="F14">
        <v>220.509995</v>
      </c>
      <c r="G14">
        <v>219.10861199999999</v>
      </c>
      <c r="H14" s="1">
        <v>102466300</v>
      </c>
      <c r="I14" s="85">
        <f t="shared" si="1"/>
        <v>-5.9979573571239175E-2</v>
      </c>
      <c r="J14" s="86">
        <f t="shared" si="0"/>
        <v>-7.6339425689505608E-2</v>
      </c>
      <c r="K14" s="98">
        <f t="shared" si="2"/>
        <v>5.8277079146035488E-3</v>
      </c>
    </row>
    <row r="15" spans="2:11" x14ac:dyDescent="0.25">
      <c r="B15" s="84">
        <v>43800</v>
      </c>
      <c r="C15">
        <v>220.89999399999999</v>
      </c>
      <c r="D15">
        <v>221.19000199999999</v>
      </c>
      <c r="E15">
        <v>210.61000100000001</v>
      </c>
      <c r="F15">
        <v>212.03999300000001</v>
      </c>
      <c r="G15">
        <v>210.69244399999999</v>
      </c>
      <c r="H15" s="1">
        <v>51926100</v>
      </c>
      <c r="I15" s="85">
        <f t="shared" si="1"/>
        <v>-3.8410941145480826E-2</v>
      </c>
      <c r="J15" s="86">
        <f t="shared" si="0"/>
        <v>-5.4770793263747258E-2</v>
      </c>
      <c r="K15" s="98">
        <f t="shared" si="2"/>
        <v>2.999839794740142E-3</v>
      </c>
    </row>
    <row r="16" spans="2:11" x14ac:dyDescent="0.25">
      <c r="B16" s="87">
        <v>43812</v>
      </c>
      <c r="C16" s="83">
        <v>212.11999499999999</v>
      </c>
      <c r="D16" s="83">
        <v>214.229996</v>
      </c>
      <c r="E16" s="83">
        <v>210.66999799999999</v>
      </c>
      <c r="F16" s="83">
        <v>214.08000200000001</v>
      </c>
      <c r="G16" s="83">
        <v>214.08000200000001</v>
      </c>
      <c r="H16" s="115">
        <v>6351911</v>
      </c>
      <c r="I16" s="116">
        <f t="shared" si="1"/>
        <v>1.6078213037388434E-2</v>
      </c>
      <c r="J16" s="88">
        <f t="shared" si="0"/>
        <v>-2.8163908087799894E-4</v>
      </c>
      <c r="K16" s="99">
        <f>J16^2</f>
        <v>7.9320571877804031E-8</v>
      </c>
    </row>
    <row r="17" spans="7:11" x14ac:dyDescent="0.25">
      <c r="G17" s="81"/>
      <c r="H17" s="94" t="s">
        <v>29</v>
      </c>
      <c r="I17" s="111">
        <f>AVERAGE(I5:I16)</f>
        <v>1.6359852118266432E-2</v>
      </c>
      <c r="K17" s="82"/>
    </row>
    <row r="18" spans="7:11" x14ac:dyDescent="0.25">
      <c r="G18" s="81"/>
      <c r="J18" s="91" t="s">
        <v>30</v>
      </c>
      <c r="K18" s="103">
        <f>SUM(K5:K16)</f>
        <v>2.8336129755097986E-2</v>
      </c>
    </row>
    <row r="19" spans="7:11" x14ac:dyDescent="0.25">
      <c r="G19" s="81"/>
      <c r="J19" s="91" t="s">
        <v>31</v>
      </c>
      <c r="K19" s="92">
        <f>K18/12</f>
        <v>2.3613441462581653E-3</v>
      </c>
    </row>
    <row r="20" spans="7:11" x14ac:dyDescent="0.25">
      <c r="G20" s="81"/>
      <c r="I20" s="93"/>
      <c r="J20" s="94" t="s">
        <v>32</v>
      </c>
      <c r="K20" s="95">
        <f>SQRT(K19)</f>
        <v>4.8593663643094101E-2</v>
      </c>
    </row>
    <row r="21" spans="7:11" x14ac:dyDescent="0.25">
      <c r="G21" s="81"/>
      <c r="J21" s="97" t="s">
        <v>33</v>
      </c>
      <c r="K21" s="96">
        <f>_xlfn.STDEV.P(I5:I16)-K20</f>
        <v>0</v>
      </c>
    </row>
    <row r="22" spans="7:11" x14ac:dyDescent="0.25">
      <c r="G22" s="104"/>
      <c r="H22" s="83"/>
      <c r="I22" s="83"/>
      <c r="J22" s="105" t="s">
        <v>34</v>
      </c>
      <c r="K22" s="106">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Earnings Model</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2020-02-21T00:41:44Z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