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C:\Users\Admin\Documents\Gutenberg\2-INTERN PROGRAM\4Q2019 Earnings Season\Intern Models\"/>
    </mc:Choice>
  </mc:AlternateContent>
  <xr:revisionPtr revIDLastSave="0" documentId="13_ncr:1_{F5C00186-6E0A-4154-90A1-EAEC73B52F2A}" xr6:coauthVersionLast="45" xr6:coauthVersionMax="45" xr10:uidLastSave="{00000000-0000-0000-0000-000000000000}"/>
  <bookViews>
    <workbookView xWindow="5370" yWindow="5370" windowWidth="38700" windowHeight="15885" tabRatio="767" firstSheet="1" activeTab="1" xr2:uid="{00000000-000D-0000-FFFF-FFFF00000000}"/>
  </bookViews>
  <sheets>
    <sheet name="Instructions" sheetId="31" state="hidden" r:id="rId1"/>
    <sheet name="Earnings Model" sheetId="3" r:id="rId2"/>
    <sheet name="Charts" sheetId="21" r:id="rId3"/>
    <sheet name="Std Dev" sheetId="29" state="hidden" r:id="rId4"/>
  </sheets>
  <definedNames>
    <definedName name="DATA" localSheetId="2">#REF!</definedName>
    <definedName name="DATA" localSheetId="0">#REF!</definedName>
    <definedName name="DATA">#REF!</definedName>
    <definedName name="_xlnm.Print_Area" localSheetId="1">'Earnings Model'!$B$2:$W$67</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7" i="3" l="1"/>
  <c r="Q37" i="3"/>
  <c r="Q39" i="3"/>
  <c r="N40" i="3"/>
  <c r="O40" i="3"/>
  <c r="P40" i="3"/>
  <c r="Q40" i="3"/>
  <c r="Q41" i="3"/>
  <c r="Q42" i="3"/>
  <c r="Q14" i="3"/>
  <c r="R14" i="3"/>
  <c r="Q15" i="3"/>
  <c r="R15" i="3"/>
  <c r="R16" i="3"/>
  <c r="Q17" i="3"/>
  <c r="R17" i="3"/>
  <c r="R18" i="3"/>
  <c r="R19" i="3"/>
  <c r="R20" i="3"/>
  <c r="R21" i="3"/>
  <c r="H14" i="3"/>
  <c r="H15" i="3"/>
  <c r="H16" i="3"/>
  <c r="H17" i="3"/>
  <c r="H18" i="3"/>
  <c r="H19" i="3"/>
  <c r="H20" i="3"/>
  <c r="H21" i="3"/>
  <c r="H22" i="3"/>
  <c r="H23" i="3"/>
  <c r="H24" i="3"/>
  <c r="H25" i="3"/>
  <c r="H26" i="3"/>
  <c r="H27" i="3"/>
  <c r="H28" i="3"/>
  <c r="M14" i="3"/>
  <c r="M15" i="3"/>
  <c r="M16" i="3"/>
  <c r="M17" i="3"/>
  <c r="M18" i="3"/>
  <c r="M19" i="3"/>
  <c r="M20" i="3"/>
  <c r="M21" i="3"/>
  <c r="M22" i="3"/>
  <c r="M23" i="3"/>
  <c r="M24" i="3"/>
  <c r="M25" i="3"/>
  <c r="M26" i="3"/>
  <c r="M27" i="3"/>
  <c r="M28" i="3"/>
  <c r="N16" i="3"/>
  <c r="N20" i="3"/>
  <c r="N21" i="3"/>
  <c r="N25" i="3"/>
  <c r="N26" i="3"/>
  <c r="N28" i="3"/>
  <c r="O16" i="3"/>
  <c r="O20" i="3"/>
  <c r="O21" i="3"/>
  <c r="O25" i="3"/>
  <c r="O26" i="3"/>
  <c r="O28" i="3"/>
  <c r="P16" i="3"/>
  <c r="P20" i="3"/>
  <c r="P21" i="3"/>
  <c r="P25" i="3"/>
  <c r="P26" i="3"/>
  <c r="P28" i="3"/>
  <c r="R22" i="3"/>
  <c r="R23" i="3"/>
  <c r="R24" i="3"/>
  <c r="R25" i="3"/>
  <c r="R26" i="3"/>
  <c r="Q16" i="3"/>
  <c r="Q20" i="3"/>
  <c r="Q21" i="3"/>
  <c r="Q25" i="3"/>
  <c r="Q26" i="3"/>
  <c r="Q27" i="3"/>
  <c r="R27" i="3"/>
  <c r="R28" i="3"/>
  <c r="Q33" i="3"/>
  <c r="L66" i="3"/>
  <c r="L62" i="3"/>
  <c r="N66" i="3"/>
  <c r="N62" i="3"/>
  <c r="O66" i="3"/>
  <c r="O62" i="3"/>
  <c r="P66" i="3"/>
  <c r="P62" i="3"/>
  <c r="Q62" i="3"/>
  <c r="Q64" i="3"/>
  <c r="Q66" i="3"/>
  <c r="Q29" i="3"/>
  <c r="Q28" i="3"/>
  <c r="I16" i="3"/>
  <c r="I20" i="3"/>
  <c r="I21" i="3"/>
  <c r="I25" i="3"/>
  <c r="I26" i="3"/>
  <c r="I28" i="3"/>
  <c r="J16" i="3"/>
  <c r="J20" i="3"/>
  <c r="J21" i="3"/>
  <c r="J25" i="3"/>
  <c r="J26" i="3"/>
  <c r="J28" i="3"/>
  <c r="K16" i="3"/>
  <c r="K20" i="3"/>
  <c r="K21" i="3"/>
  <c r="K25" i="3"/>
  <c r="K26" i="3"/>
  <c r="K28" i="3"/>
  <c r="L16" i="3"/>
  <c r="L20" i="3"/>
  <c r="L21" i="3"/>
  <c r="L25" i="3"/>
  <c r="L26" i="3"/>
  <c r="L28" i="3"/>
  <c r="S25" i="3"/>
  <c r="S39" i="3"/>
  <c r="S40" i="3"/>
  <c r="S42" i="3"/>
  <c r="S14" i="3"/>
  <c r="S15" i="3"/>
  <c r="S16" i="3"/>
  <c r="S17" i="3"/>
  <c r="S20" i="3"/>
  <c r="S21" i="3"/>
  <c r="S26" i="3"/>
  <c r="S27" i="3"/>
  <c r="S28" i="3"/>
  <c r="S33" i="3"/>
  <c r="S62" i="3"/>
  <c r="S64" i="3"/>
  <c r="S66" i="3"/>
  <c r="S29" i="3"/>
  <c r="T25" i="3"/>
  <c r="T39" i="3"/>
  <c r="T40" i="3"/>
  <c r="P39" i="3"/>
  <c r="P42" i="3"/>
  <c r="P44" i="3"/>
  <c r="P41" i="3"/>
  <c r="O39" i="3"/>
  <c r="O42" i="3"/>
  <c r="O44" i="3"/>
  <c r="O41" i="3"/>
  <c r="T41" i="3"/>
  <c r="T42" i="3"/>
  <c r="T14" i="3"/>
  <c r="T15" i="3"/>
  <c r="T16" i="3"/>
  <c r="T17" i="3"/>
  <c r="T20" i="3"/>
  <c r="T21" i="3"/>
  <c r="T26" i="3"/>
  <c r="T27" i="3"/>
  <c r="T28" i="3"/>
  <c r="T33" i="3"/>
  <c r="T62" i="3"/>
  <c r="T64" i="3"/>
  <c r="T66" i="3"/>
  <c r="T29" i="3"/>
  <c r="U25" i="3"/>
  <c r="U39" i="3"/>
  <c r="U40" i="3"/>
  <c r="U41" i="3"/>
  <c r="U42" i="3"/>
  <c r="U14" i="3"/>
  <c r="U15" i="3"/>
  <c r="U16" i="3"/>
  <c r="U17" i="3"/>
  <c r="U20" i="3"/>
  <c r="U21" i="3"/>
  <c r="U26" i="3"/>
  <c r="U27" i="3"/>
  <c r="U28" i="3"/>
  <c r="U33" i="3"/>
  <c r="U62" i="3"/>
  <c r="U64" i="3"/>
  <c r="U66" i="3"/>
  <c r="U29" i="3"/>
  <c r="W22" i="3"/>
  <c r="W23" i="3"/>
  <c r="W24" i="3"/>
  <c r="W25" i="3"/>
  <c r="V39" i="3"/>
  <c r="V40" i="3"/>
  <c r="V41" i="3"/>
  <c r="V42" i="3"/>
  <c r="V14" i="3"/>
  <c r="W14" i="3"/>
  <c r="V55" i="3"/>
  <c r="V15" i="3"/>
  <c r="W15" i="3"/>
  <c r="W16" i="3"/>
  <c r="V17" i="3"/>
  <c r="W17" i="3"/>
  <c r="W18" i="3"/>
  <c r="W19" i="3"/>
  <c r="W20" i="3"/>
  <c r="W21" i="3"/>
  <c r="W26" i="3"/>
  <c r="V25" i="3"/>
  <c r="V16" i="3"/>
  <c r="V20" i="3"/>
  <c r="V21" i="3"/>
  <c r="V26" i="3"/>
  <c r="V27" i="3"/>
  <c r="W27" i="3"/>
  <c r="W28" i="3"/>
  <c r="V33" i="3"/>
  <c r="V62" i="3"/>
  <c r="V64" i="3"/>
  <c r="V66" i="3"/>
  <c r="V29" i="3"/>
  <c r="V28" i="3"/>
  <c r="S37" i="3"/>
  <c r="T37" i="3"/>
  <c r="U37" i="3"/>
  <c r="V37" i="3"/>
  <c r="P55" i="3"/>
  <c r="P56" i="3"/>
  <c r="P63" i="3"/>
  <c r="P58" i="3"/>
  <c r="I39" i="3"/>
  <c r="I42" i="3"/>
  <c r="I44" i="3"/>
  <c r="I41" i="3"/>
  <c r="P50" i="3"/>
  <c r="P48" i="3"/>
  <c r="K41" i="3"/>
  <c r="N55" i="3"/>
  <c r="O55" i="3"/>
  <c r="K66" i="3"/>
  <c r="K62" i="3"/>
  <c r="N63" i="3"/>
  <c r="O63" i="3"/>
  <c r="K63" i="3"/>
  <c r="L63" i="3"/>
  <c r="Q63" i="3"/>
  <c r="S63" i="3"/>
  <c r="T63" i="3"/>
  <c r="U63" i="3"/>
  <c r="V63" i="3"/>
  <c r="Q30" i="3"/>
  <c r="S30" i="3"/>
  <c r="T30" i="3"/>
  <c r="U30" i="3"/>
  <c r="V30" i="3"/>
  <c r="S32" i="3"/>
  <c r="P32" i="3"/>
  <c r="Q32" i="3"/>
  <c r="L39" i="3"/>
  <c r="L42" i="3"/>
  <c r="L44" i="3"/>
  <c r="L41" i="3"/>
  <c r="O58" i="3"/>
  <c r="O56" i="3"/>
  <c r="O38" i="3"/>
  <c r="O50" i="3"/>
  <c r="O48" i="3"/>
  <c r="O32" i="3"/>
  <c r="D42" i="3"/>
  <c r="I43" i="3"/>
  <c r="N39" i="3"/>
  <c r="N42" i="3"/>
  <c r="N44" i="3"/>
  <c r="N41" i="3"/>
  <c r="R40" i="3"/>
  <c r="M40" i="3"/>
  <c r="R46" i="3"/>
  <c r="N58" i="3"/>
  <c r="N56" i="3"/>
  <c r="N45" i="3"/>
  <c r="N38" i="3"/>
  <c r="N50" i="3"/>
  <c r="N48" i="3"/>
  <c r="N33" i="3"/>
  <c r="I66" i="3"/>
  <c r="I62" i="3"/>
  <c r="J66" i="3"/>
  <c r="J62" i="3"/>
  <c r="I5" i="29"/>
  <c r="I6" i="29"/>
  <c r="I7" i="29"/>
  <c r="I8" i="29"/>
  <c r="I9" i="29"/>
  <c r="I10" i="29"/>
  <c r="I11" i="29"/>
  <c r="I12" i="29"/>
  <c r="I13" i="29"/>
  <c r="I14" i="29"/>
  <c r="I15" i="29"/>
  <c r="I16" i="29"/>
  <c r="I17" i="29"/>
  <c r="J5" i="29"/>
  <c r="K5" i="29"/>
  <c r="J6" i="29"/>
  <c r="K6" i="29"/>
  <c r="J7" i="29"/>
  <c r="K7" i="29"/>
  <c r="J8" i="29"/>
  <c r="K8" i="29"/>
  <c r="J9" i="29"/>
  <c r="K9" i="29"/>
  <c r="J10" i="29"/>
  <c r="K10" i="29"/>
  <c r="J11" i="29"/>
  <c r="K11" i="29"/>
  <c r="J12" i="29"/>
  <c r="K12" i="29"/>
  <c r="J13" i="29"/>
  <c r="K13" i="29"/>
  <c r="J14" i="29"/>
  <c r="K14" i="29"/>
  <c r="J15" i="29"/>
  <c r="K15" i="29"/>
  <c r="J16" i="29"/>
  <c r="K16" i="29"/>
  <c r="K18" i="29"/>
  <c r="K19" i="29"/>
  <c r="K20" i="29"/>
  <c r="K22" i="29"/>
  <c r="G25" i="3"/>
  <c r="E25" i="3"/>
  <c r="F25" i="3"/>
  <c r="D25" i="3"/>
  <c r="E56" i="3"/>
  <c r="F56" i="3"/>
  <c r="G56" i="3"/>
  <c r="I56" i="3"/>
  <c r="J56" i="3"/>
  <c r="K56" i="3"/>
  <c r="L56" i="3"/>
  <c r="D56" i="3"/>
  <c r="H40" i="3"/>
  <c r="H39" i="3"/>
  <c r="W38" i="3"/>
  <c r="R38" i="3"/>
  <c r="G42" i="3"/>
  <c r="G53" i="3"/>
  <c r="E42" i="3"/>
  <c r="E53" i="3"/>
  <c r="F42" i="3"/>
  <c r="F53" i="3"/>
  <c r="I53" i="3"/>
  <c r="J42" i="3"/>
  <c r="J53" i="3"/>
  <c r="K42" i="3"/>
  <c r="K53" i="3"/>
  <c r="L53" i="3"/>
  <c r="I38" i="3"/>
  <c r="L38" i="3"/>
  <c r="K38" i="3"/>
  <c r="J38" i="3"/>
  <c r="G38" i="3"/>
  <c r="F38" i="3"/>
  <c r="E38" i="3"/>
  <c r="D38" i="3"/>
  <c r="J39" i="3"/>
  <c r="K39" i="3"/>
  <c r="R37" i="3"/>
  <c r="D44" i="3"/>
  <c r="D41" i="3"/>
  <c r="D45" i="3"/>
  <c r="D53" i="3"/>
  <c r="M39" i="3"/>
  <c r="R39" i="3"/>
  <c r="L43" i="3"/>
  <c r="K43" i="3"/>
  <c r="H38" i="3"/>
  <c r="M38" i="3"/>
  <c r="J43" i="3"/>
  <c r="M46" i="3"/>
  <c r="W39" i="3"/>
  <c r="W40" i="3"/>
  <c r="W46" i="3"/>
  <c r="M37" i="3"/>
  <c r="M42" i="3"/>
  <c r="M53" i="3"/>
  <c r="H42" i="3"/>
  <c r="H53" i="3"/>
  <c r="D20" i="3"/>
  <c r="E20" i="3"/>
  <c r="F20" i="3"/>
  <c r="G20" i="3"/>
  <c r="D16" i="3"/>
  <c r="D55" i="3"/>
  <c r="E16" i="3"/>
  <c r="E55" i="3"/>
  <c r="F16" i="3"/>
  <c r="F55" i="3"/>
  <c r="G16" i="3"/>
  <c r="G55" i="3"/>
  <c r="I55" i="3"/>
  <c r="J55" i="3"/>
  <c r="K55" i="3"/>
  <c r="L55" i="3"/>
  <c r="M43" i="3"/>
  <c r="W37" i="3"/>
  <c r="E21" i="3"/>
  <c r="E26" i="3"/>
  <c r="K32" i="3"/>
  <c r="F21" i="3"/>
  <c r="F26" i="3"/>
  <c r="D21" i="3"/>
  <c r="D26" i="3"/>
  <c r="G21" i="3"/>
  <c r="G26" i="3"/>
  <c r="L32" i="3"/>
  <c r="D28" i="3"/>
  <c r="D58" i="3"/>
  <c r="I32" i="3"/>
  <c r="I58" i="3"/>
  <c r="E28" i="3"/>
  <c r="E31" i="3"/>
  <c r="E58" i="3"/>
  <c r="J31" i="3"/>
  <c r="J58" i="3"/>
  <c r="G28" i="3"/>
  <c r="G31" i="3"/>
  <c r="G58" i="3"/>
  <c r="F28" i="3"/>
  <c r="F32" i="3"/>
  <c r="F58" i="3"/>
  <c r="L58" i="3"/>
  <c r="F31" i="3"/>
  <c r="I31" i="3"/>
  <c r="D31" i="3"/>
  <c r="D32" i="3"/>
  <c r="E32" i="3"/>
  <c r="K58" i="3"/>
  <c r="G32" i="3"/>
  <c r="J32" i="3"/>
  <c r="K31" i="3"/>
  <c r="M65" i="3"/>
  <c r="M33" i="3"/>
  <c r="H33" i="3"/>
  <c r="R33" i="3"/>
  <c r="E44" i="3"/>
  <c r="E41" i="3"/>
  <c r="F44" i="3"/>
  <c r="F41" i="3"/>
  <c r="G44" i="3"/>
  <c r="G41" i="3"/>
  <c r="G45" i="3"/>
  <c r="J44" i="3"/>
  <c r="K44" i="3"/>
  <c r="L45" i="3"/>
  <c r="M56" i="3"/>
  <c r="H56" i="3"/>
  <c r="H41" i="3"/>
  <c r="M41" i="3"/>
  <c r="W33" i="3"/>
  <c r="K45" i="3"/>
  <c r="F45" i="3"/>
  <c r="J45" i="3"/>
  <c r="E45" i="3"/>
  <c r="I45" i="3"/>
  <c r="M55" i="3"/>
  <c r="H55" i="3"/>
  <c r="M58" i="3"/>
  <c r="H58" i="3"/>
  <c r="H29" i="3"/>
  <c r="H30" i="3"/>
  <c r="M30" i="3"/>
  <c r="M29" i="3"/>
  <c r="L31" i="3"/>
  <c r="M32" i="3"/>
  <c r="M31" i="3"/>
  <c r="H31" i="3"/>
  <c r="H32" i="3"/>
  <c r="J63" i="3"/>
  <c r="D66" i="3"/>
  <c r="F66" i="3"/>
  <c r="G66" i="3"/>
  <c r="R65" i="3"/>
  <c r="M66" i="3"/>
  <c r="F63" i="3"/>
  <c r="F62" i="3"/>
  <c r="G63" i="3"/>
  <c r="G62" i="3"/>
  <c r="R66" i="3"/>
  <c r="J57" i="3"/>
  <c r="H65" i="3"/>
  <c r="E66" i="3"/>
  <c r="K57" i="3"/>
  <c r="I63" i="3"/>
  <c r="D57" i="3"/>
  <c r="F57" i="3"/>
  <c r="L57" i="3"/>
  <c r="G57" i="3"/>
  <c r="I57" i="3"/>
  <c r="E62" i="3"/>
  <c r="E63" i="3"/>
  <c r="H66" i="3"/>
  <c r="E57" i="3"/>
  <c r="H57" i="3"/>
  <c r="K21" i="29"/>
  <c r="W65" i="3"/>
  <c r="M57" i="3"/>
  <c r="W66" i="3"/>
  <c r="N43" i="3"/>
  <c r="N53" i="3"/>
  <c r="O43" i="3"/>
  <c r="O45" i="3"/>
  <c r="O53" i="3"/>
  <c r="N57" i="3"/>
  <c r="S45" i="3"/>
  <c r="S44" i="3"/>
  <c r="S43" i="3"/>
  <c r="Q43" i="3"/>
  <c r="Q45" i="3"/>
  <c r="Q44" i="3"/>
  <c r="Q53" i="3"/>
  <c r="S53" i="3"/>
  <c r="R42" i="3"/>
  <c r="R43" i="3"/>
  <c r="R53" i="3"/>
  <c r="R55" i="3"/>
  <c r="O57" i="3"/>
  <c r="R57" i="3"/>
  <c r="P57" i="3"/>
  <c r="Q57" i="3"/>
  <c r="S57" i="3"/>
  <c r="N32" i="3"/>
  <c r="N31" i="3"/>
  <c r="O31" i="3"/>
  <c r="P31" i="3"/>
  <c r="R30" i="3"/>
  <c r="R32" i="3"/>
  <c r="R29" i="3"/>
  <c r="R31" i="3"/>
  <c r="Q31" i="3"/>
  <c r="R58" i="3"/>
  <c r="S31" i="3"/>
  <c r="R41" i="3"/>
  <c r="P43" i="3"/>
  <c r="P45" i="3"/>
  <c r="P53" i="3"/>
  <c r="T53" i="3"/>
  <c r="T43" i="3"/>
  <c r="T45" i="3"/>
  <c r="T44" i="3"/>
  <c r="W41" i="3"/>
  <c r="U45" i="3"/>
  <c r="U44" i="3"/>
  <c r="U43" i="3"/>
  <c r="U53" i="3"/>
  <c r="V53" i="3"/>
  <c r="V45" i="3"/>
  <c r="V44" i="3"/>
  <c r="V43" i="3"/>
  <c r="W42" i="3"/>
  <c r="W43" i="3"/>
  <c r="W53" i="3"/>
  <c r="W55" i="3"/>
  <c r="W57" i="3"/>
  <c r="T57" i="3"/>
  <c r="U57" i="3"/>
  <c r="V57" i="3"/>
  <c r="T31" i="3"/>
  <c r="U31" i="3"/>
  <c r="U32" i="3"/>
  <c r="V32" i="3"/>
  <c r="V31" i="3"/>
  <c r="W58" i="3"/>
  <c r="W30" i="3"/>
  <c r="W32" i="3"/>
  <c r="W29" i="3"/>
  <c r="W31" i="3"/>
  <c r="T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N14" authorId="0" shapeId="0" xr:uid="{E2DC2275-09C6-4BF5-B306-11E5EBCB773F}">
      <text>
        <r>
          <rPr>
            <b/>
            <sz val="9"/>
            <color indexed="81"/>
            <rFont val="Tahoma"/>
            <family val="2"/>
          </rPr>
          <t>F1Q2019 Earnings Call:</t>
        </r>
        <r>
          <rPr>
            <sz val="9"/>
            <color indexed="81"/>
            <rFont val="Tahoma"/>
            <family val="2"/>
          </rPr>
          <t xml:space="preserve"> "Our sales performance came in below our expectations in the quarter, as a result of two factors:
First, </t>
        </r>
        <r>
          <rPr>
            <b/>
            <sz val="9"/>
            <color indexed="81"/>
            <rFont val="Tahoma"/>
            <family val="2"/>
          </rPr>
          <t>the month of February was the second wettest on record for the U.S. Second</t>
        </r>
        <r>
          <rPr>
            <sz val="9"/>
            <color indexed="81"/>
            <rFont val="Tahoma"/>
            <family val="2"/>
          </rPr>
          <t>,</t>
        </r>
        <r>
          <rPr>
            <b/>
            <sz val="9"/>
            <color indexed="81"/>
            <rFont val="Tahoma"/>
            <family val="2"/>
          </rPr>
          <t xml:space="preserve"> lumber prices continued to decline in the quarter, resulting in a negative impact to sales growth of approximately $200 million</t>
        </r>
        <r>
          <rPr>
            <sz val="9"/>
            <color indexed="81"/>
            <rFont val="Tahoma"/>
            <family val="2"/>
          </rPr>
          <t>. Looking at our results geographically, all of our U.S. divisions posted positive comps. Two of our 19 U.S. regions posted</t>
        </r>
        <r>
          <rPr>
            <b/>
            <sz val="9"/>
            <color indexed="81"/>
            <rFont val="Tahoma"/>
            <family val="2"/>
          </rPr>
          <t xml:space="preserve"> mid-single-digit negative comps as they faced difficult compares due to hurricane-related sales a year ago</t>
        </r>
        <r>
          <rPr>
            <sz val="9"/>
            <color indexed="81"/>
            <rFont val="Tahoma"/>
            <family val="2"/>
          </rPr>
          <t>."
"Internationally, Mexico posted another quarter of positive comps in local currency, while Canada's comps were slightly negative. This, no doubt, was a noisy quarter, but when you look through the noise to the core business, we are pleased with the underlying performance. We saw growth in both ticket and transactions in the quarter, and 10 of our 14 merchandising departments posted positive comps. Ted will provide additional details around departments that were negative in the quarter as hurricane comparison and price deflation impacted several categories."
"</t>
        </r>
        <r>
          <rPr>
            <b/>
            <sz val="9"/>
            <color indexed="81"/>
            <rFont val="Tahoma"/>
            <family val="2"/>
          </rPr>
          <t>Online traffic growth was healthy and first quarter online sales grew 23%</t>
        </r>
        <r>
          <rPr>
            <sz val="9"/>
            <color indexed="81"/>
            <rFont val="Tahoma"/>
            <family val="2"/>
          </rPr>
          <t xml:space="preserve"> from the first quarter of 2018. "
"Versus last year, a</t>
        </r>
        <r>
          <rPr>
            <b/>
            <sz val="9"/>
            <color indexed="81"/>
            <rFont val="Tahoma"/>
            <family val="2"/>
          </rPr>
          <t xml:space="preserve"> stronger U.S. dollar negatively impacted the total sales growth by approximately $76 million</t>
        </r>
        <r>
          <rPr>
            <sz val="9"/>
            <color indexed="81"/>
            <rFont val="Tahoma"/>
            <family val="2"/>
          </rPr>
          <t xml:space="preserve"> or 0.3%." </t>
        </r>
      </text>
    </comment>
    <comment ref="R14" authorId="0" shapeId="0" xr:uid="{6590642B-6807-4E84-AB47-DDD4B493F21D}">
      <text>
        <r>
          <rPr>
            <b/>
            <sz val="9"/>
            <color indexed="81"/>
            <rFont val="Tahoma"/>
            <family val="2"/>
          </rPr>
          <t xml:space="preserve">Guidance: </t>
        </r>
        <r>
          <rPr>
            <sz val="9"/>
            <color indexed="81"/>
            <rFont val="Tahoma"/>
            <family val="2"/>
          </rPr>
          <t>Total sales up 1.8% YoY, or $110.15B</t>
        </r>
        <r>
          <rPr>
            <b/>
            <sz val="9"/>
            <color indexed="81"/>
            <rFont val="Tahoma"/>
            <family val="2"/>
          </rPr>
          <t xml:space="preserve">
Source: </t>
        </r>
        <r>
          <rPr>
            <sz val="9"/>
            <color indexed="81"/>
            <rFont val="Tahoma"/>
            <family val="2"/>
          </rPr>
          <t>F3Q2019 earnings call, 11/19/2019</t>
        </r>
        <r>
          <rPr>
            <b/>
            <sz val="9"/>
            <color indexed="81"/>
            <rFont val="Tahoma"/>
            <family val="2"/>
          </rPr>
          <t xml:space="preserve">
</t>
        </r>
        <r>
          <rPr>
            <b/>
            <i/>
            <sz val="9"/>
            <color indexed="81"/>
            <rFont val="Tahoma"/>
            <family val="2"/>
          </rPr>
          <t xml:space="preserve">Prior Guidance
Guidance: </t>
        </r>
        <r>
          <rPr>
            <i/>
            <sz val="9"/>
            <color indexed="81"/>
            <rFont val="Tahoma"/>
            <family val="2"/>
          </rPr>
          <t>Total sales up 2.3% YoY, or $110.7B</t>
        </r>
        <r>
          <rPr>
            <b/>
            <i/>
            <sz val="9"/>
            <color indexed="81"/>
            <rFont val="Tahoma"/>
            <family val="2"/>
          </rPr>
          <t xml:space="preserve">
Source: </t>
        </r>
        <r>
          <rPr>
            <i/>
            <sz val="9"/>
            <color indexed="81"/>
            <rFont val="Tahoma"/>
            <family val="2"/>
          </rPr>
          <t>F2Q2019 earnings call, 10/20/2019</t>
        </r>
        <r>
          <rPr>
            <b/>
            <i/>
            <sz val="9"/>
            <color indexed="81"/>
            <rFont val="Tahoma"/>
            <family val="2"/>
          </rPr>
          <t xml:space="preserve">
Guidance: </t>
        </r>
        <r>
          <rPr>
            <i/>
            <sz val="9"/>
            <color indexed="81"/>
            <rFont val="Tahoma"/>
            <family val="2"/>
          </rPr>
          <t>Total sales up 3% YoY, or $111.5B</t>
        </r>
        <r>
          <rPr>
            <b/>
            <i/>
            <sz val="9"/>
            <color indexed="81"/>
            <rFont val="Tahoma"/>
            <family val="2"/>
          </rPr>
          <t xml:space="preserve">
Source: </t>
        </r>
        <r>
          <rPr>
            <i/>
            <sz val="9"/>
            <color indexed="81"/>
            <rFont val="Tahoma"/>
            <family val="2"/>
          </rPr>
          <t xml:space="preserve">F4Q2018 earnings call, 2/26/2019
</t>
        </r>
        <r>
          <rPr>
            <b/>
            <i/>
            <sz val="9"/>
            <color indexed="81"/>
            <rFont val="Tahoma"/>
            <family val="2"/>
          </rPr>
          <t xml:space="preserve">Reaffirmed on the F1Q2019 conference call on 5/21/2019…but:
F1Q2019 Earnings Call: </t>
        </r>
        <r>
          <rPr>
            <i/>
            <sz val="9"/>
            <color indexed="81"/>
            <rFont val="Tahoma"/>
            <family val="2"/>
          </rPr>
          <t xml:space="preserve"> "The building blocks of our 2019 plan are in place. Nonetheless, two factors have changed since we put their plan together. </t>
        </r>
        <r>
          <rPr>
            <b/>
            <i/>
            <sz val="9"/>
            <color indexed="81"/>
            <rFont val="Tahoma"/>
            <family val="2"/>
          </rPr>
          <t>First, there was a recent announcement that certain tariffs are increasing to 25%. We are working through the impact of these tariffs and as a result have not included them in today's guidance.</t>
        </r>
        <r>
          <rPr>
            <i/>
            <sz val="9"/>
            <color indexed="81"/>
            <rFont val="Tahoma"/>
            <family val="2"/>
          </rPr>
          <t xml:space="preserve">
Second and more immediate, is the significant deflation we are seeing in lumber prices. You will recall that our sales forecasting model does not include commodity price inflation or deflation. </t>
        </r>
        <r>
          <rPr>
            <b/>
            <i/>
            <sz val="9"/>
            <color indexed="81"/>
            <rFont val="Tahoma"/>
            <family val="2"/>
          </rPr>
          <t>If lumber prices remain at today's level, this could hamper our fiscal 2019 sales growth plan by as much as $800 million.</t>
        </r>
        <r>
          <rPr>
            <i/>
            <sz val="9"/>
            <color indexed="81"/>
            <rFont val="Tahoma"/>
            <family val="2"/>
          </rPr>
          <t xml:space="preserve">
But because we cannot predict what will happen to lumber prices and because we are just one quarter into the year, at this point we are not changing our sales or earnings per share guidance for fiscal 2019. With that in mind, today we are reaffirming the sales and earnings per share growth guidance that we laid out on our fourth quarter earnings call."</t>
        </r>
      </text>
    </comment>
    <comment ref="W14" authorId="0" shapeId="0" xr:uid="{45E0CF3F-CCA1-49A7-8FCD-C851C79EFADE}">
      <text>
        <r>
          <rPr>
            <b/>
            <sz val="9"/>
            <color indexed="81"/>
            <rFont val="Tahoma"/>
            <family val="2"/>
          </rPr>
          <t xml:space="preserve">Guidance: </t>
        </r>
        <r>
          <rPr>
            <sz val="9"/>
            <color indexed="81"/>
            <rFont val="Tahoma"/>
            <family val="2"/>
          </rPr>
          <t>Total sales between 3.5% and 4.0% (approximately $114.0B to  $114.6B).</t>
        </r>
        <r>
          <rPr>
            <b/>
            <sz val="9"/>
            <color indexed="81"/>
            <rFont val="Tahoma"/>
            <family val="2"/>
          </rPr>
          <t xml:space="preserve">
Source: </t>
        </r>
        <r>
          <rPr>
            <sz val="9"/>
            <color indexed="81"/>
            <rFont val="Tahoma"/>
            <family val="2"/>
          </rPr>
          <t>Investor/Analyst Meeting 12/11/2019</t>
        </r>
        <r>
          <rPr>
            <b/>
            <sz val="9"/>
            <color indexed="81"/>
            <rFont val="Tahoma"/>
            <family val="2"/>
          </rPr>
          <t xml:space="preserve">
</t>
        </r>
        <r>
          <rPr>
            <b/>
            <i/>
            <sz val="9"/>
            <color indexed="81"/>
            <rFont val="Tahoma"/>
            <family val="2"/>
          </rPr>
          <t xml:space="preserve">
Prior Guidance:
Guidance:</t>
        </r>
        <r>
          <rPr>
            <i/>
            <sz val="9"/>
            <color indexed="81"/>
            <rFont val="Tahoma"/>
            <family val="2"/>
          </rPr>
          <t xml:space="preserve"> Total sales ranging from ~$115 billion to approximately $120 billion
</t>
        </r>
        <r>
          <rPr>
            <b/>
            <i/>
            <sz val="9"/>
            <color indexed="81"/>
            <rFont val="Tahoma"/>
            <family val="2"/>
          </rPr>
          <t>Source:</t>
        </r>
        <r>
          <rPr>
            <i/>
            <sz val="9"/>
            <color indexed="81"/>
            <rFont val="Tahoma"/>
            <family val="2"/>
          </rPr>
          <t xml:space="preserve"> F4Q2018 earnings call, 2/26/2019</t>
        </r>
      </text>
    </comment>
    <comment ref="R18" authorId="0" shapeId="0" xr:uid="{C8AE2DA5-F653-4BCB-BD24-13079DF49164}">
      <text>
        <r>
          <rPr>
            <b/>
            <sz val="9"/>
            <color indexed="81"/>
            <rFont val="Tahoma"/>
            <family val="2"/>
          </rPr>
          <t>Guidance:</t>
        </r>
        <r>
          <rPr>
            <sz val="9"/>
            <color indexed="81"/>
            <rFont val="Tahoma"/>
            <family val="2"/>
          </rPr>
          <t xml:space="preserve"> Depreciation and amortization expense of ~$2.3 billion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R25" authorId="0" shapeId="0" xr:uid="{DC03500A-CFFA-415E-BCC3-C46FCBFEAD8B}">
      <text>
        <r>
          <rPr>
            <b/>
            <sz val="9"/>
            <color indexed="81"/>
            <rFont val="Tahoma"/>
            <family val="2"/>
          </rPr>
          <t>Guidance:</t>
        </r>
        <r>
          <rPr>
            <sz val="9"/>
            <color indexed="81"/>
            <rFont val="Tahoma"/>
            <family val="2"/>
          </rPr>
          <t xml:space="preserve"> Net interest expense of ~$1.2 billion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R32" authorId="0" shapeId="0" xr:uid="{DF6AC6E6-CF62-4BDB-9DE1-43B44074A433}">
      <text>
        <r>
          <rPr>
            <b/>
            <sz val="9"/>
            <color indexed="81"/>
            <rFont val="Tahoma"/>
            <family val="2"/>
          </rPr>
          <t xml:space="preserve">Guidance: </t>
        </r>
        <r>
          <rPr>
            <sz val="9"/>
            <color indexed="81"/>
            <rFont val="Tahoma"/>
            <family val="2"/>
          </rPr>
          <t>Diluted earnings-per-share growth of approximately 3.1% to $10.03</t>
        </r>
        <r>
          <rPr>
            <b/>
            <sz val="9"/>
            <color indexed="81"/>
            <rFont val="Tahoma"/>
            <family val="2"/>
          </rPr>
          <t xml:space="preserve">
Source: </t>
        </r>
        <r>
          <rPr>
            <sz val="9"/>
            <color indexed="81"/>
            <rFont val="Tahoma"/>
            <family val="2"/>
          </rPr>
          <t xml:space="preserve">F3Q2019 earnings call, 11/19/2019 </t>
        </r>
        <r>
          <rPr>
            <b/>
            <sz val="9"/>
            <color indexed="81"/>
            <rFont val="Tahoma"/>
            <family val="2"/>
          </rPr>
          <t xml:space="preserve">
</t>
        </r>
        <r>
          <rPr>
            <b/>
            <i/>
            <sz val="9"/>
            <color indexed="81"/>
            <rFont val="Tahoma"/>
            <family val="2"/>
          </rPr>
          <t xml:space="preserve">Prior Guidance:
Guidance: </t>
        </r>
        <r>
          <rPr>
            <i/>
            <sz val="9"/>
            <color indexed="81"/>
            <rFont val="Tahoma"/>
            <family val="2"/>
          </rPr>
          <t>Diluted earnings-per-share growth of approximately 3.1% to $10.03</t>
        </r>
        <r>
          <rPr>
            <b/>
            <i/>
            <sz val="9"/>
            <color indexed="81"/>
            <rFont val="Tahoma"/>
            <family val="2"/>
          </rPr>
          <t xml:space="preserve">
Source: </t>
        </r>
        <r>
          <rPr>
            <i/>
            <sz val="9"/>
            <color indexed="81"/>
            <rFont val="Tahoma"/>
            <family val="2"/>
          </rPr>
          <t>F2Q2019 earnings call, 10/20/2019</t>
        </r>
        <r>
          <rPr>
            <b/>
            <i/>
            <sz val="9"/>
            <color indexed="81"/>
            <rFont val="Tahoma"/>
            <family val="2"/>
          </rPr>
          <t xml:space="preserve">
Guidance:</t>
        </r>
        <r>
          <rPr>
            <i/>
            <sz val="9"/>
            <color indexed="81"/>
            <rFont val="Tahoma"/>
            <family val="2"/>
          </rPr>
          <t xml:space="preserve"> Diluted earnings-per-share growth of approximately 3.1% to $10.03
</t>
        </r>
        <r>
          <rPr>
            <b/>
            <i/>
            <sz val="9"/>
            <color indexed="81"/>
            <rFont val="Tahoma"/>
            <family val="2"/>
          </rPr>
          <t xml:space="preserve">Source: </t>
        </r>
        <r>
          <rPr>
            <i/>
            <sz val="9"/>
            <color indexed="81"/>
            <rFont val="Tahoma"/>
            <family val="2"/>
          </rPr>
          <t xml:space="preserve">F4Q2018 earnings call, 2/26/2019 
</t>
        </r>
        <r>
          <rPr>
            <b/>
            <i/>
            <sz val="9"/>
            <color indexed="81"/>
            <rFont val="Tahoma"/>
            <family val="2"/>
          </rPr>
          <t>Reaffirmed on the F1Q2019 conference call on 5/21/2019</t>
        </r>
      </text>
    </comment>
    <comment ref="R38" authorId="0" shapeId="0" xr:uid="{777AB5D6-4EE6-49B5-A6C8-AFAB8D177616}">
      <text>
        <r>
          <rPr>
            <b/>
            <sz val="9"/>
            <color indexed="81"/>
            <rFont val="Tahoma"/>
            <family val="2"/>
          </rPr>
          <t xml:space="preserve">Guidance: </t>
        </r>
        <r>
          <rPr>
            <sz val="9"/>
            <color indexed="81"/>
            <rFont val="Tahoma"/>
            <family val="2"/>
          </rPr>
          <t>Five net new stores</t>
        </r>
        <r>
          <rPr>
            <b/>
            <sz val="9"/>
            <color indexed="81"/>
            <rFont val="Tahoma"/>
            <family val="2"/>
          </rPr>
          <t xml:space="preserve">
Source: </t>
        </r>
        <r>
          <rPr>
            <sz val="9"/>
            <color indexed="81"/>
            <rFont val="Tahoma"/>
            <family val="2"/>
          </rPr>
          <t xml:space="preserve">F4Q2018 earnings call, 2/26/2019 </t>
        </r>
      </text>
    </comment>
    <comment ref="I40" authorId="0" shapeId="0" xr:uid="{87181218-F2A4-409B-8805-46DA527D6FC0}">
      <text>
        <r>
          <rPr>
            <sz val="9"/>
            <color indexed="81"/>
            <rFont val="Tahoma"/>
            <family val="2"/>
          </rPr>
          <t xml:space="preserve">Adjusted to calculate the Fiscal 2019 comp store sales calc against 52-weeks in 2018. 
</t>
        </r>
        <r>
          <rPr>
            <b/>
            <sz val="9"/>
            <color indexed="81"/>
            <rFont val="Tahoma"/>
            <family val="2"/>
          </rPr>
          <t>F1Q2019 Earnings Call:</t>
        </r>
        <r>
          <rPr>
            <sz val="9"/>
            <color indexed="81"/>
            <rFont val="Tahoma"/>
            <family val="2"/>
          </rPr>
          <t xml:space="preserve"> "fiscal 2019 guidance will launch from our reported results for fiscal 2018, which includes sales and earnings associated with the 53rd week. When we report our quarterly comp sales results, we will compare weeks one through 52 in fiscal 2019 against weeks two through 53 in fiscal 2018.
For fiscal 2019, we expect comp sales, as calculated on a 52-week basis, to increase by approximately 5%. We expect sales to increase by approximately 3.3%, reflecting the compare of 53 weeks last year. "</t>
        </r>
      </text>
    </comment>
    <comment ref="L41" authorId="0" shapeId="0" xr:uid="{9ED33F21-99C1-4BB9-A480-6140EB780947}">
      <text>
        <r>
          <rPr>
            <sz val="9"/>
            <color indexed="81"/>
            <rFont val="Tahoma"/>
            <family val="2"/>
          </rPr>
          <t xml:space="preserve">F4Q2018 included 14 weeks, F4Q2019 will have 13 weeks so we moved $1.9B (roughly one week of sales, $26.5B divided by 14). This will result in a reasonable base to calculate the F4Q2019 comp store sales percentage.
</t>
        </r>
      </text>
    </comment>
    <comment ref="R43" authorId="0" shapeId="0" xr:uid="{A45C3F38-C947-453A-9185-223798D54950}">
      <text>
        <r>
          <rPr>
            <b/>
            <sz val="9"/>
            <color indexed="81"/>
            <rFont val="Tahoma"/>
            <family val="2"/>
          </rPr>
          <t xml:space="preserve">Guidance: </t>
        </r>
        <r>
          <rPr>
            <sz val="9"/>
            <color indexed="81"/>
            <rFont val="Tahoma"/>
            <family val="2"/>
          </rPr>
          <t>Total sales up 1.8% YoY, or $110.15B</t>
        </r>
        <r>
          <rPr>
            <b/>
            <sz val="9"/>
            <color indexed="81"/>
            <rFont val="Tahoma"/>
            <family val="2"/>
          </rPr>
          <t xml:space="preserve">
Source: </t>
        </r>
        <r>
          <rPr>
            <sz val="9"/>
            <color indexed="81"/>
            <rFont val="Tahoma"/>
            <family val="2"/>
          </rPr>
          <t>F3Q2019 earnings call, 11/19/2019</t>
        </r>
        <r>
          <rPr>
            <b/>
            <sz val="9"/>
            <color indexed="81"/>
            <rFont val="Tahoma"/>
            <family val="2"/>
          </rPr>
          <t xml:space="preserve">
</t>
        </r>
        <r>
          <rPr>
            <b/>
            <i/>
            <sz val="9"/>
            <color indexed="81"/>
            <rFont val="Tahoma"/>
            <family val="2"/>
          </rPr>
          <t xml:space="preserve">Prior Guidance:
Guidance: </t>
        </r>
        <r>
          <rPr>
            <i/>
            <sz val="9"/>
            <color indexed="81"/>
            <rFont val="Tahoma"/>
            <family val="2"/>
          </rPr>
          <t>Total sales up 2.3% YoY, or $110.7B.</t>
        </r>
        <r>
          <rPr>
            <b/>
            <i/>
            <sz val="9"/>
            <color indexed="81"/>
            <rFont val="Tahoma"/>
            <family val="2"/>
          </rPr>
          <t xml:space="preserve">
Source: </t>
        </r>
        <r>
          <rPr>
            <i/>
            <sz val="9"/>
            <color indexed="81"/>
            <rFont val="Tahoma"/>
            <family val="2"/>
          </rPr>
          <t>F2Q2019 earnings call, 10/20/2019</t>
        </r>
        <r>
          <rPr>
            <b/>
            <i/>
            <sz val="9"/>
            <color indexed="81"/>
            <rFont val="Tahoma"/>
            <family val="2"/>
          </rPr>
          <t xml:space="preserve">
Guidance: </t>
        </r>
        <r>
          <rPr>
            <i/>
            <sz val="9"/>
            <color indexed="81"/>
            <rFont val="Tahoma"/>
            <family val="2"/>
          </rPr>
          <t>Sales growth of ~3.3%</t>
        </r>
        <r>
          <rPr>
            <b/>
            <i/>
            <sz val="9"/>
            <color indexed="81"/>
            <rFont val="Tahoma"/>
            <family val="2"/>
          </rPr>
          <t xml:space="preserve">
Source: </t>
        </r>
        <r>
          <rPr>
            <i/>
            <sz val="9"/>
            <color indexed="81"/>
            <rFont val="Tahoma"/>
            <family val="2"/>
          </rPr>
          <t xml:space="preserve">F4Q2018 earnings call, 2/26/2019 
</t>
        </r>
        <r>
          <rPr>
            <b/>
            <i/>
            <sz val="9"/>
            <color indexed="81"/>
            <rFont val="Tahoma"/>
            <family val="2"/>
          </rPr>
          <t>Reaffirmed on the F1Q2019 conference call on 5/21/2019</t>
        </r>
      </text>
    </comment>
    <comment ref="W43" authorId="0" shapeId="0" xr:uid="{EE0B2FFF-F900-4CA5-A33C-7274A7B9BCAA}">
      <text>
        <r>
          <rPr>
            <b/>
            <sz val="9"/>
            <color indexed="81"/>
            <rFont val="Tahoma"/>
            <family val="2"/>
          </rPr>
          <t xml:space="preserve">Guidance: </t>
        </r>
        <r>
          <rPr>
            <sz val="9"/>
            <color indexed="81"/>
            <rFont val="Tahoma"/>
            <family val="2"/>
          </rPr>
          <t xml:space="preserve">Total sales between 3.5% and 4.0% (approximately $114.0B to  $114.6B).
</t>
        </r>
        <r>
          <rPr>
            <b/>
            <sz val="9"/>
            <color indexed="81"/>
            <rFont val="Tahoma"/>
            <family val="2"/>
          </rPr>
          <t xml:space="preserve">Source: </t>
        </r>
        <r>
          <rPr>
            <sz val="9"/>
            <color indexed="81"/>
            <rFont val="Tahoma"/>
            <family val="2"/>
          </rPr>
          <t xml:space="preserve">Investor/Analyst Meeting 12/11/2019
</t>
        </r>
        <r>
          <rPr>
            <i/>
            <sz val="9"/>
            <color indexed="81"/>
            <rFont val="Tahoma"/>
            <family val="2"/>
          </rPr>
          <t>Prior Guidance:
Guidance: Total sales ranging from ~$115 billion to approximately $120 billion
Source: F4Q2018 earnings call, 2/26/2019</t>
        </r>
      </text>
    </comment>
    <comment ref="N46" authorId="0" shapeId="0" xr:uid="{DA7C9DD2-66A4-4DFB-980B-1757F6D35AAF}">
      <text>
        <r>
          <rPr>
            <b/>
            <sz val="9"/>
            <color indexed="81"/>
            <rFont val="Tahoma"/>
            <family val="2"/>
          </rPr>
          <t>F1Q2019 Earnings Call: "</t>
        </r>
        <r>
          <rPr>
            <sz val="9"/>
            <color indexed="81"/>
            <rFont val="Tahoma"/>
            <family val="2"/>
          </rPr>
          <t xml:space="preserve">In the first quarter, comp average ticket increased 2% and comp transactions increased 5.5%. During the first quarter, </t>
        </r>
        <r>
          <rPr>
            <b/>
            <sz val="9"/>
            <color indexed="81"/>
            <rFont val="Tahoma"/>
            <family val="2"/>
          </rPr>
          <t>we continued to see significant deflationary trends in lumber that began last year.</t>
        </r>
        <r>
          <rPr>
            <sz val="9"/>
            <color indexed="81"/>
            <rFont val="Tahoma"/>
            <family val="2"/>
          </rPr>
          <t xml:space="preserve">
Let me give you an example. When lumber prices peaked last year, we were selling a 4x8 sheet of OSB for approximately $17 and our units were negative. At the end of the first quarter, the price for that same sheet of OSB have fallen over 50% to about $8. While we have seen nicely in productivities prices have fallen. We have not overcome the top line headwind from the significant deflation.
Without lumber price deflation, our average ticket growth would have been closer to 3%. "
"Second, versus last year, lumber price deflation hurt our sales growth by approximately $200 million. If you ignore the weather impact of February across our business and lumber price deflation, our total company comp would have been closer to 4.5%. "</t>
        </r>
      </text>
    </comment>
    <comment ref="Q46" authorId="0" shapeId="0" xr:uid="{AF3E8CD7-3106-484E-9054-6C9A3E64016C}">
      <text>
        <r>
          <rPr>
            <sz val="9"/>
            <color indexed="81"/>
            <rFont val="Tahoma"/>
            <family val="2"/>
          </rPr>
          <t>Primary Input: If you believe the Black Friday sales will be strong (included in FQ this year vs F3 last year), continued benefit from improved customer experience, and/or an increase in lumber and copper prices is coming, than increase the comparable sales estimate.</t>
        </r>
      </text>
    </comment>
    <comment ref="R46" authorId="0" shapeId="0" xr:uid="{4834D747-7B93-4622-A295-7D9CE5BEB6FE}">
      <text>
        <r>
          <rPr>
            <b/>
            <sz val="9"/>
            <color indexed="81"/>
            <rFont val="Tahoma"/>
            <family val="2"/>
          </rPr>
          <t xml:space="preserve">Guidance: </t>
        </r>
        <r>
          <rPr>
            <sz val="9"/>
            <color indexed="81"/>
            <rFont val="Tahoma"/>
            <family val="2"/>
          </rPr>
          <t>Comparable sales growth of approximately 3.5% for the comparable 52-week period.</t>
        </r>
        <r>
          <rPr>
            <b/>
            <sz val="9"/>
            <color indexed="81"/>
            <rFont val="Tahoma"/>
            <family val="2"/>
          </rPr>
          <t xml:space="preserve">
Source: </t>
        </r>
        <r>
          <rPr>
            <sz val="9"/>
            <color indexed="81"/>
            <rFont val="Tahoma"/>
            <family val="2"/>
          </rPr>
          <t xml:space="preserve">F3Q2019 earnings call, 11/19/2019 </t>
        </r>
        <r>
          <rPr>
            <b/>
            <sz val="9"/>
            <color indexed="81"/>
            <rFont val="Tahoma"/>
            <family val="2"/>
          </rPr>
          <t xml:space="preserve">
</t>
        </r>
        <r>
          <rPr>
            <b/>
            <i/>
            <sz val="9"/>
            <color indexed="81"/>
            <rFont val="Tahoma"/>
            <family val="2"/>
          </rPr>
          <t xml:space="preserve">Prior Guidance:
Guidance: </t>
        </r>
        <r>
          <rPr>
            <i/>
            <sz val="9"/>
            <color indexed="81"/>
            <rFont val="Tahoma"/>
            <family val="2"/>
          </rPr>
          <t xml:space="preserve">Comparable sales growth of approximately 4.0% for the comparable 52-week period.
</t>
        </r>
        <r>
          <rPr>
            <b/>
            <i/>
            <sz val="9"/>
            <color indexed="81"/>
            <rFont val="Tahoma"/>
            <family val="2"/>
          </rPr>
          <t xml:space="preserve">Source: </t>
        </r>
        <r>
          <rPr>
            <i/>
            <sz val="9"/>
            <color indexed="81"/>
            <rFont val="Tahoma"/>
            <family val="2"/>
          </rPr>
          <t xml:space="preserve">F2Q2019 earnings call, 10/20/2019 </t>
        </r>
        <r>
          <rPr>
            <sz val="9"/>
            <color indexed="81"/>
            <rFont val="Tahoma"/>
            <family val="2"/>
          </rPr>
          <t xml:space="preserve">
</t>
        </r>
      </text>
    </comment>
    <comment ref="W46" authorId="0" shapeId="0" xr:uid="{8FE67043-7E17-45D1-A675-C9CF77C009F5}">
      <text>
        <r>
          <rPr>
            <b/>
            <sz val="9"/>
            <color indexed="81"/>
            <rFont val="Tahoma"/>
            <family val="2"/>
          </rPr>
          <t xml:space="preserve">Guidance: </t>
        </r>
        <r>
          <rPr>
            <sz val="9"/>
            <color indexed="81"/>
            <rFont val="Tahoma"/>
            <family val="2"/>
          </rPr>
          <t xml:space="preserve">Comp sales growth of approximately 3.5% to 4.0%.
</t>
        </r>
        <r>
          <rPr>
            <b/>
            <sz val="9"/>
            <color indexed="81"/>
            <rFont val="Tahoma"/>
            <family val="2"/>
          </rPr>
          <t>Source:</t>
        </r>
        <r>
          <rPr>
            <sz val="9"/>
            <color indexed="81"/>
            <rFont val="Tahoma"/>
            <family val="2"/>
          </rPr>
          <t xml:space="preserve"> Investor/Analyst Meeting 12/11/2019</t>
        </r>
      </text>
    </comment>
    <comment ref="N55" authorId="0" shapeId="0" xr:uid="{24AB3D13-C325-4E90-934B-DBBEBF0CD9CE}">
      <text>
        <r>
          <rPr>
            <b/>
            <sz val="9"/>
            <color indexed="81"/>
            <rFont val="Tahoma"/>
            <family val="2"/>
          </rPr>
          <t xml:space="preserve">F1Q2019 Earnings Call: </t>
        </r>
        <r>
          <rPr>
            <sz val="9"/>
            <color indexed="81"/>
            <rFont val="Tahoma"/>
            <family val="2"/>
          </rPr>
          <t>"In the first quarter, our gross margin was 34.2%, a decrease of 36 basis points from last year. The year-over-year change in our gross margin reflects the following factors.
First, the change in mix of products sold caused approximately 17 basis points of gross margin contraction. Second, higher shrink than one year ago resulted in 13 basis points of contraction. And finally, higher supply chain and fulfillment expense caused approximately six basis points of gross margin contraction."</t>
        </r>
        <r>
          <rPr>
            <b/>
            <sz val="9"/>
            <color indexed="81"/>
            <rFont val="Tahoma"/>
            <family val="2"/>
          </rPr>
          <t xml:space="preserve">
</t>
        </r>
        <r>
          <rPr>
            <sz val="9"/>
            <color indexed="81"/>
            <rFont val="Tahoma"/>
            <family val="2"/>
          </rPr>
          <t xml:space="preserve">
</t>
        </r>
      </text>
    </comment>
    <comment ref="R55" authorId="0" shapeId="0" xr:uid="{252AD746-EC75-47E5-802D-FACB8F559A4D}">
      <text>
        <r>
          <rPr>
            <b/>
            <sz val="9"/>
            <color indexed="81"/>
            <rFont val="Tahoma"/>
            <family val="2"/>
          </rPr>
          <t>Guidance:</t>
        </r>
        <r>
          <rPr>
            <sz val="9"/>
            <color indexed="81"/>
            <rFont val="Tahoma"/>
            <family val="2"/>
          </rPr>
          <t xml:space="preserve"> "On the gross margin side, as we've indicated, our gross margin won’t be as low as we had anticipated at the beginning of the year because of the penetration shift in lumber. So we will be slightly higher than our original guide. Our original guide was to be flat, that was a 34% for the year as you'll recall. So it won't be down as much. So the second half margin won't be down as much as the first half how bout that."
</t>
        </r>
        <r>
          <rPr>
            <b/>
            <sz val="9"/>
            <color indexed="81"/>
            <rFont val="Tahoma"/>
            <family val="2"/>
          </rPr>
          <t>Source:</t>
        </r>
        <r>
          <rPr>
            <sz val="9"/>
            <color indexed="81"/>
            <rFont val="Tahoma"/>
            <family val="2"/>
          </rPr>
          <t xml:space="preserve"> F2Q2019 earnings call, 10/20/2019 </t>
        </r>
        <r>
          <rPr>
            <b/>
            <sz val="9"/>
            <color indexed="81"/>
            <rFont val="Tahoma"/>
            <family val="2"/>
          </rPr>
          <t xml:space="preserve">
</t>
        </r>
        <r>
          <rPr>
            <b/>
            <i/>
            <sz val="9"/>
            <color indexed="81"/>
            <rFont val="Tahoma"/>
            <family val="2"/>
          </rPr>
          <t>Prior Guidance: 
Guidance:</t>
        </r>
        <r>
          <rPr>
            <i/>
            <sz val="9"/>
            <color indexed="81"/>
            <rFont val="Tahoma"/>
            <family val="2"/>
          </rPr>
          <t xml:space="preserve"> Gross margin of ~34%
</t>
        </r>
        <r>
          <rPr>
            <b/>
            <i/>
            <sz val="9"/>
            <color indexed="81"/>
            <rFont val="Tahoma"/>
            <family val="2"/>
          </rPr>
          <t>Source:</t>
        </r>
        <r>
          <rPr>
            <i/>
            <sz val="9"/>
            <color indexed="81"/>
            <rFont val="Tahoma"/>
            <family val="2"/>
          </rPr>
          <t xml:space="preserve"> F4Q2018 earnings call, 2/26/2019 
</t>
        </r>
        <r>
          <rPr>
            <b/>
            <i/>
            <sz val="9"/>
            <color indexed="81"/>
            <rFont val="Tahoma"/>
            <family val="2"/>
          </rPr>
          <t>&gt;Implied in management's reaffirmation of sales and EPS estimates on the F1Q2019 conference call on 5/21/2019</t>
        </r>
      </text>
    </comment>
    <comment ref="N56" authorId="0" shapeId="0" xr:uid="{B4D77573-BA98-4DAB-8B9C-104294751A0B}">
      <text>
        <r>
          <rPr>
            <b/>
            <sz val="9"/>
            <color indexed="81"/>
            <rFont val="Tahoma"/>
            <family val="2"/>
          </rPr>
          <t>F1Q2019 Earnings Call:</t>
        </r>
        <r>
          <rPr>
            <sz val="9"/>
            <color indexed="81"/>
            <rFont val="Tahoma"/>
            <family val="2"/>
          </rPr>
          <t xml:space="preserve"> "In the first quarter, operating expense as a percent of sales decreased by 44 basis points to 20.5%. Our operating expense performance reflects the impact of our strategic investment plan and ongoing expense control. Specifically, expenses related to our strategic investment plan of $229 million reflect a $50 million increase over last year and approximately 15 basis points of operating expense deleverage. This deleverage was offset by productivity in BAU or business-as-usual expenses, which drove 59 basis points of operating expense leverage."
</t>
        </r>
      </text>
    </comment>
    <comment ref="R57" authorId="0" shapeId="0" xr:uid="{B363599C-AFF2-4EC1-AF26-B7D11A6EDEB9}">
      <text>
        <r>
          <rPr>
            <b/>
            <sz val="9"/>
            <color indexed="81"/>
            <rFont val="Tahoma"/>
            <family val="2"/>
          </rPr>
          <t>Guidance:</t>
        </r>
        <r>
          <rPr>
            <sz val="9"/>
            <color indexed="81"/>
            <rFont val="Tahoma"/>
            <family val="2"/>
          </rPr>
          <t xml:space="preserve"> Operating margin of ~14.4%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W57" authorId="0" shapeId="0" xr:uid="{D6AFDBC0-B645-487E-9C28-699479A906E9}">
      <text>
        <r>
          <rPr>
            <b/>
            <sz val="9"/>
            <color indexed="81"/>
            <rFont val="Tahoma"/>
            <family val="2"/>
          </rPr>
          <t>Guidance:</t>
        </r>
        <r>
          <rPr>
            <sz val="9"/>
            <color indexed="81"/>
            <rFont val="Tahoma"/>
            <family val="2"/>
          </rPr>
          <t xml:space="preserve"> Operating Margin of approximately 14%.
</t>
        </r>
        <r>
          <rPr>
            <b/>
            <sz val="9"/>
            <color indexed="81"/>
            <rFont val="Tahoma"/>
            <family val="2"/>
          </rPr>
          <t xml:space="preserve">Source: </t>
        </r>
        <r>
          <rPr>
            <sz val="9"/>
            <color indexed="81"/>
            <rFont val="Tahoma"/>
            <family val="2"/>
          </rPr>
          <t>Investor/Analyst Meeting 12/11/2019</t>
        </r>
      </text>
    </comment>
    <comment ref="R58" authorId="0" shapeId="0" xr:uid="{1AC5A6FE-2E7D-4292-8526-475FE5AC6A6E}">
      <text>
        <r>
          <rPr>
            <b/>
            <sz val="9"/>
            <color indexed="81"/>
            <rFont val="Tahoma"/>
            <family val="2"/>
          </rPr>
          <t xml:space="preserve">Guidance: </t>
        </r>
        <r>
          <rPr>
            <sz val="9"/>
            <color indexed="81"/>
            <rFont val="Tahoma"/>
            <family val="2"/>
          </rPr>
          <t>For the year, we now expect our effective tax rate to be approximately 25 percent.</t>
        </r>
        <r>
          <rPr>
            <b/>
            <sz val="9"/>
            <color indexed="81"/>
            <rFont val="Tahoma"/>
            <family val="2"/>
          </rPr>
          <t xml:space="preserve">
Source: </t>
        </r>
        <r>
          <rPr>
            <sz val="9"/>
            <color indexed="81"/>
            <rFont val="Tahoma"/>
            <family val="2"/>
          </rPr>
          <t xml:space="preserve">F2Q2019 earnings call, 10/20/2019 </t>
        </r>
        <r>
          <rPr>
            <b/>
            <sz val="9"/>
            <color indexed="81"/>
            <rFont val="Tahoma"/>
            <family val="2"/>
          </rPr>
          <t xml:space="preserve">
</t>
        </r>
        <r>
          <rPr>
            <b/>
            <i/>
            <sz val="9"/>
            <color indexed="81"/>
            <rFont val="Tahoma"/>
            <family val="2"/>
          </rPr>
          <t>Prior Guidance:
Guidance:</t>
        </r>
        <r>
          <rPr>
            <i/>
            <sz val="9"/>
            <color indexed="81"/>
            <rFont val="Tahoma"/>
            <family val="2"/>
          </rPr>
          <t xml:space="preserve"> Tax rate of approximately 25.5%.
</t>
        </r>
        <r>
          <rPr>
            <b/>
            <i/>
            <sz val="9"/>
            <color indexed="81"/>
            <rFont val="Tahoma"/>
            <family val="2"/>
          </rPr>
          <t>Source:</t>
        </r>
        <r>
          <rPr>
            <i/>
            <sz val="9"/>
            <color indexed="81"/>
            <rFont val="Tahoma"/>
            <family val="2"/>
          </rPr>
          <t xml:space="preserve"> F4Q2018 earnings call, 2/26/2019 
</t>
        </r>
        <r>
          <rPr>
            <b/>
            <i/>
            <sz val="9"/>
            <color indexed="81"/>
            <rFont val="Tahoma"/>
            <family val="2"/>
          </rPr>
          <t>&gt;Implied in management's reaffirmation of sales and EPS estimates on the F1Q2019 conference call on 5/21/2019</t>
        </r>
      </text>
    </comment>
    <comment ref="R65" authorId="0" shapeId="0" xr:uid="{28F3D4EE-614F-4345-B8A3-1973D3BE300C}">
      <text>
        <r>
          <rPr>
            <b/>
            <sz val="9"/>
            <color indexed="81"/>
            <rFont val="Tahoma"/>
            <family val="2"/>
          </rPr>
          <t xml:space="preserve">Guidance: </t>
        </r>
        <r>
          <rPr>
            <sz val="9"/>
            <color indexed="81"/>
            <rFont val="Tahoma"/>
            <family val="2"/>
          </rPr>
          <t>Share repurchases of ~$5.0 billion</t>
        </r>
        <r>
          <rPr>
            <b/>
            <sz val="9"/>
            <color indexed="81"/>
            <rFont val="Tahoma"/>
            <family val="2"/>
          </rPr>
          <t xml:space="preserve"> 
Source: </t>
        </r>
        <r>
          <rPr>
            <sz val="9"/>
            <color indexed="81"/>
            <rFont val="Tahoma"/>
            <family val="2"/>
          </rPr>
          <t>F2Q2019 earnings call, 10/20/2019</t>
        </r>
        <r>
          <rPr>
            <b/>
            <sz val="9"/>
            <color indexed="81"/>
            <rFont val="Tahoma"/>
            <family val="2"/>
          </rPr>
          <t xml:space="preserve"> 
</t>
        </r>
        <r>
          <rPr>
            <b/>
            <i/>
            <sz val="9"/>
            <color indexed="81"/>
            <rFont val="Tahoma"/>
            <family val="2"/>
          </rPr>
          <t xml:space="preserve">Prior Guidance:
Guidance: </t>
        </r>
        <r>
          <rPr>
            <i/>
            <sz val="9"/>
            <color indexed="81"/>
            <rFont val="Tahoma"/>
            <family val="2"/>
          </rPr>
          <t xml:space="preserve">Share repurchases of ~$5.0 billion 
</t>
        </r>
        <r>
          <rPr>
            <b/>
            <i/>
            <sz val="9"/>
            <color indexed="81"/>
            <rFont val="Tahoma"/>
            <family val="2"/>
          </rPr>
          <t>Source:</t>
        </r>
        <r>
          <rPr>
            <i/>
            <sz val="9"/>
            <color indexed="81"/>
            <rFont val="Tahoma"/>
            <family val="2"/>
          </rPr>
          <t xml:space="preserve"> F4Q2018 earnings call, 2/26/2019 
</t>
        </r>
        <r>
          <rPr>
            <b/>
            <i/>
            <sz val="9"/>
            <color indexed="81"/>
            <rFont val="Tahoma"/>
            <family val="2"/>
          </rPr>
          <t>Reaffirmed on the F1Q2019 conference call on 5/21/2019</t>
        </r>
      </text>
    </comment>
  </commentList>
</comments>
</file>

<file path=xl/sharedStrings.xml><?xml version="1.0" encoding="utf-8"?>
<sst xmlns="http://schemas.openxmlformats.org/spreadsheetml/2006/main" count="235" uniqueCount="130">
  <si>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</si>
  <si>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</si>
  <si>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</si>
  <si>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</si>
  <si>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</si>
  <si>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</si>
  <si>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</si>
  <si>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</si>
  <si>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</si>
  <si>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</si>
  <si>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</si>
  <si>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</si>
  <si>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</si>
  <si>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</si>
  <si>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</si>
  <si>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</si>
  <si>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</si>
  <si>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</si>
  <si>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</si>
  <si>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</si>
  <si>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</si>
  <si>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</si>
  <si>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</si>
  <si>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</si>
  <si>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</si>
  <si>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</si>
  <si>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</si>
  <si>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</si>
  <si>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</si>
  <si>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</si>
  <si>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</si>
  <si>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</si>
  <si>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</si>
  <si>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check</t>
  </si>
  <si>
    <t>Absolute value of mean monthly return</t>
  </si>
  <si>
    <t>Adjusted Close</t>
  </si>
  <si>
    <t>Segment Data</t>
  </si>
  <si>
    <t>Reconciliation</t>
  </si>
  <si>
    <t xml:space="preserve">   Gross Profit</t>
  </si>
  <si>
    <t>F1Q17</t>
  </si>
  <si>
    <t>F2Q17</t>
  </si>
  <si>
    <t>F3Q17</t>
  </si>
  <si>
    <t>F4Q17</t>
  </si>
  <si>
    <t>FY 2017</t>
  </si>
  <si>
    <t>F1Q18</t>
  </si>
  <si>
    <t>F2Q18</t>
  </si>
  <si>
    <t>F3Q18</t>
  </si>
  <si>
    <t>F4Q18</t>
  </si>
  <si>
    <t>FY 2018</t>
  </si>
  <si>
    <t>F1Q19</t>
  </si>
  <si>
    <t>Cost of sales including occupancy costs</t>
  </si>
  <si>
    <t>Depreciation and amortization expenses</t>
  </si>
  <si>
    <t>Interest expense</t>
  </si>
  <si>
    <t>Cash dividend</t>
  </si>
  <si>
    <t>Estimated stores included in comp sales calculation [step 1]</t>
  </si>
  <si>
    <t>Estimated revenue per store in comp sales calc ($M) [step 4]</t>
  </si>
  <si>
    <t>Comp sale revenue reconciliation [step 5]</t>
  </si>
  <si>
    <t>Share Count Analysis (ASR included in change)</t>
  </si>
  <si>
    <t>Home Depot Income Statement</t>
  </si>
  <si>
    <t>Net sales</t>
  </si>
  <si>
    <t>Selling, general and administrative expenses</t>
  </si>
  <si>
    <t>Impairment loss</t>
  </si>
  <si>
    <t>Interest income and investment income</t>
  </si>
  <si>
    <t>Other expenses</t>
  </si>
  <si>
    <t>Net income</t>
  </si>
  <si>
    <t>Jan-2019</t>
  </si>
  <si>
    <t>Oct-2018</t>
  </si>
  <si>
    <t>July-2018</t>
  </si>
  <si>
    <t>April-2018</t>
  </si>
  <si>
    <t>April-2017</t>
  </si>
  <si>
    <t>July-2017</t>
  </si>
  <si>
    <t>Oct-2017</t>
  </si>
  <si>
    <t>Jan-2018</t>
  </si>
  <si>
    <t>April-2019</t>
  </si>
  <si>
    <t>July-2019</t>
  </si>
  <si>
    <t>Oct-2019</t>
  </si>
  <si>
    <t>Jan-2020</t>
  </si>
  <si>
    <t>April-2020</t>
  </si>
  <si>
    <t>July-2020</t>
  </si>
  <si>
    <t>Oct-2020</t>
  </si>
  <si>
    <t>Jan-2021</t>
  </si>
  <si>
    <t xml:space="preserve">Store Count </t>
  </si>
  <si>
    <t>Net sales per square foot</t>
  </si>
  <si>
    <t>Comparable store sales</t>
  </si>
  <si>
    <t>Comparable customer transactions</t>
  </si>
  <si>
    <t>Comparable average ticket</t>
  </si>
  <si>
    <t>Customer transactions</t>
  </si>
  <si>
    <t>Average ticket</t>
  </si>
  <si>
    <t>New stores</t>
  </si>
  <si>
    <r>
      <t xml:space="preserve">Other sales excluded from comp calc </t>
    </r>
    <r>
      <rPr>
        <i/>
        <sz val="11"/>
        <color theme="3"/>
        <rFont val="Calibri"/>
        <family val="2"/>
        <scheme val="minor"/>
      </rPr>
      <t>[step 3]</t>
    </r>
  </si>
  <si>
    <t>Total sales ($M)</t>
  </si>
  <si>
    <t>Revenue per store ($M) [step 2]</t>
  </si>
  <si>
    <t>Total sales growth rate (YoY)</t>
  </si>
  <si>
    <t>Gross margin</t>
  </si>
  <si>
    <t>SG&amp;A as a % of sales</t>
  </si>
  <si>
    <t>Revenue</t>
  </si>
  <si>
    <t>Net interest and other</t>
  </si>
  <si>
    <t>Notes &amp; Instructions</t>
  </si>
  <si>
    <r>
      <rPr>
        <b/>
        <sz val="11"/>
        <color theme="1"/>
        <rFont val="Calibri"/>
        <family val="2"/>
        <scheme val="minor"/>
      </rPr>
      <t>Property &amp; Equipment (P&amp;E):</t>
    </r>
    <r>
      <rPr>
        <sz val="11"/>
        <color theme="1"/>
        <rFont val="Calibri"/>
        <family val="2"/>
        <scheme val="minor"/>
      </rPr>
      <t xml:space="preserve"> Based on the ratio of capital expenditures to revenue, and estimates for depreciation.</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</si>
  <si>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</si>
  <si>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</si>
  <si>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The primary driver of this model is the estimate of comparable store sales. This estimate is described in the companies 10-K filing as follows:</t>
    </r>
    <r>
      <rPr>
        <sz val="11"/>
        <color theme="1"/>
        <rFont val="Calibri"/>
        <family val="2"/>
        <scheme val="minor"/>
      </rPr>
      <t xml:space="preserve"> </t>
    </r>
    <r>
      <rPr>
        <i/>
        <sz val="11"/>
        <color theme="1"/>
        <rFont val="Calibri"/>
        <family val="2"/>
        <scheme val="minor"/>
      </rPr>
      <t>"Comparable sales is a measure that highlights the performance of our existing locations and websites by measuring the change in sales for a period over the comparable, prior-period of equivalent length. Comparable sales includes sales at all locations, physical and online, open greater than 52 weeks (including remodels and relocations) and excluding closed stores. Retail stores become comparable on the Monday following their 365th day of operation. Acquisitions, digital or otherwise, are included after we own them for greater than 52 weeks (with the exception of Interline which is excluded from comparable sales). Comparable sales is intended only as supplemental information and is not a substitute for net sales presented in accordance with GAAP."</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</si>
  <si>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</si>
  <si>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Future revenue is projected using estimates for same store sales and new store openings. The resulting revenue growth rate is compared backed to management's guidance as a reasonableness check.</t>
    </r>
  </si>
  <si>
    <r>
      <rPr>
        <b/>
        <sz val="11"/>
        <color theme="1"/>
        <rFont val="Calibri"/>
        <family val="2"/>
        <scheme val="minor"/>
      </rPr>
      <t xml:space="preserve">Gross margin and SG&amp;A: </t>
    </r>
    <r>
      <rPr>
        <sz val="11"/>
        <color theme="1"/>
        <rFont val="Calibri"/>
        <family val="2"/>
        <scheme val="minor"/>
      </rPr>
      <t xml:space="preserve">Forecasted with ratio analysis based on historic results and management's guidance. </t>
    </r>
  </si>
  <si>
    <r>
      <rPr>
        <b/>
        <sz val="11"/>
        <color theme="1"/>
        <rFont val="Calibri"/>
        <family val="2"/>
        <scheme val="minor"/>
      </rPr>
      <t>Interest expense and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</si>
  <si>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</si>
  <si>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rPr>
        <b/>
        <sz val="11"/>
        <color theme="1"/>
        <rFont val="Calibri"/>
        <family val="2"/>
        <scheme val="minor"/>
      </rPr>
      <t>Other balance sheet accounts:</t>
    </r>
    <r>
      <rPr>
        <sz val="11"/>
        <color theme="1"/>
        <rFont val="Calibri"/>
        <family val="2"/>
        <scheme val="minor"/>
      </rPr>
      <t xml:space="preserve"> estimated with basic growth rates.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</si>
  <si>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</si>
  <si>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</si>
  <si>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rPr>
        <b/>
        <sz val="11"/>
        <color theme="1"/>
        <rFont val="Calibri"/>
        <family val="2"/>
        <scheme val="minor"/>
      </rPr>
      <t xml:space="preserve">Equity Section: </t>
    </r>
    <r>
      <rPr>
        <sz val="11"/>
        <color theme="1"/>
        <rFont val="Calibri"/>
        <family val="2"/>
        <scheme val="minor"/>
      </rPr>
      <t>Common stock &amp; APIC are projected using  the last reported balance and additions for any projected stock issuances, including stock issuances related to stock-based compensation. Future retained earnings is based on the projected net income from the Income Statement, less dividend distributions. Accumulated other comprehensive income will change due to changes in foreign currency, however the impact is expected to be de minimis to the overall model, so it is held flat to the last reported balance. Treasury stock increases with projected future share repurchases.</t>
    </r>
  </si>
  <si>
    <r>
      <rPr>
        <i/>
        <sz val="11"/>
        <color theme="1"/>
        <rFont val="Calibri"/>
        <family val="2"/>
        <scheme val="minor"/>
      </rPr>
      <t>To reflect the fact that not all of the individual metrics used in the comparable store sales estimate are disclosed by the company, the following steps are used to estimate the historic comparable sales inputs.</t>
    </r>
    <r>
      <rPr>
        <b/>
        <i/>
        <sz val="11"/>
        <color theme="1"/>
        <rFont val="Calibri"/>
        <family val="2"/>
        <scheme val="minor"/>
      </rPr>
      <t xml:space="preserve">
Method for using Comparable Store Sales in this model:</t>
    </r>
    <r>
      <rPr>
        <sz val="11"/>
        <color theme="1"/>
        <rFont val="Calibri"/>
        <family val="2"/>
        <scheme val="minor"/>
      </rPr>
      <t xml:space="preserve">
</t>
    </r>
    <r>
      <rPr>
        <b/>
        <sz val="11"/>
        <color theme="1"/>
        <rFont val="Calibri"/>
        <family val="2"/>
        <scheme val="minor"/>
      </rPr>
      <t xml:space="preserve">Step 1) </t>
    </r>
    <r>
      <rPr>
        <sz val="11"/>
        <color theme="1"/>
        <rFont val="Calibri"/>
        <family val="2"/>
        <scheme val="minor"/>
      </rPr>
      <t xml:space="preserve">Estimate the number of stores included in the comp store sales calculation as the total store count from four quarters ago. This approach is used rather than a historic average since the volume of new stores and closed stores is relatively low for the company, compared to other retail companies.
</t>
    </r>
    <r>
      <rPr>
        <b/>
        <sz val="11"/>
        <color theme="1"/>
        <rFont val="Calibri"/>
        <family val="2"/>
        <scheme val="minor"/>
      </rPr>
      <t>Step 2)</t>
    </r>
    <r>
      <rPr>
        <sz val="11"/>
        <color theme="1"/>
        <rFont val="Calibri"/>
        <family val="2"/>
        <scheme val="minor"/>
      </rPr>
      <t xml:space="preserve"> Calculate the ratio of total revenue to the total number of stores at the end of the period (theoretically should use average number of stores, however this is a simplified approach and given the relatively low level of precision with over all comp stores sales, this approach should be reasonable).
</t>
    </r>
    <r>
      <rPr>
        <b/>
        <sz val="11"/>
        <color theme="1"/>
        <rFont val="Calibri"/>
        <family val="2"/>
        <scheme val="minor"/>
      </rPr>
      <t>Step 3)</t>
    </r>
    <r>
      <rPr>
        <sz val="11"/>
        <color theme="1"/>
        <rFont val="Calibri"/>
        <family val="2"/>
        <scheme val="minor"/>
      </rPr>
      <t xml:space="preserve"> Estimate the "other" revenue which is not included in the Comp Store Sales number related to the stores which have not been open for 52 weeks or longer, and the impact of differences in the week count per year and any other one-off revenue items. The simplified approach to estimating this revenue is to take the total number of stores which were not included in Step 1, and multiply by the simple average revenue per store during the quarter.
</t>
    </r>
    <r>
      <rPr>
        <b/>
        <sz val="11"/>
        <color theme="1"/>
        <rFont val="Calibri"/>
        <family val="2"/>
        <scheme val="minor"/>
      </rPr>
      <t>Step 4)</t>
    </r>
    <r>
      <rPr>
        <sz val="11"/>
        <color theme="1"/>
        <rFont val="Calibri"/>
        <family val="2"/>
        <scheme val="minor"/>
      </rPr>
      <t xml:space="preserve"> Use the "Goal Seek" function to solve for the comparable prior period Comp Store Sales dollar amount which will make the reported total Comp Store Sales percentage equal the total revenue for the segment. This metric will be "trued-up" each quarter as an additional Comp Store Sales percentage observation is made available. 
</t>
    </r>
    <r>
      <rPr>
        <b/>
        <sz val="11"/>
        <color theme="1"/>
        <rFont val="Calibri"/>
        <family val="2"/>
        <scheme val="minor"/>
      </rPr>
      <t xml:space="preserve">Step 5) </t>
    </r>
    <r>
      <rPr>
        <sz val="11"/>
        <color theme="1"/>
        <rFont val="Calibri"/>
        <family val="2"/>
        <scheme val="minor"/>
      </rPr>
      <t xml:space="preserve">Change the comparable period from the previous year "Other" revenue so that the total segment revenue reconciles.
</t>
    </r>
    <r>
      <rPr>
        <b/>
        <sz val="11"/>
        <color theme="1"/>
        <rFont val="Calibri"/>
        <family val="2"/>
        <scheme val="minor"/>
      </rPr>
      <t>Note:</t>
    </r>
    <r>
      <rPr>
        <sz val="11"/>
        <color theme="1"/>
        <rFont val="Calibri"/>
        <family val="2"/>
        <scheme val="minor"/>
      </rPr>
      <t xml:space="preserve"> Since the company does not disclose the number of stores in the Comp Store Sales calculation, or the revenue for the other stores, there is no way to verify if the historic results for the Comp Store Sales components are accurate. Therefore, the components in the historical periods are shaded blue to indicate that these values represent estimates.</t>
    </r>
  </si>
  <si>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2019. </t>
    </r>
  </si>
  <si>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</si>
  <si>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</si>
  <si>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</si>
  <si>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</si>
  <si>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t xml:space="preserve">Cash Flow Statement: </t>
    </r>
    <r>
      <rPr>
        <sz val="11"/>
        <color theme="1"/>
        <rFont val="Calibri"/>
        <family val="2"/>
        <scheme val="minor"/>
      </rPr>
      <t>Generally driven by the net income from the Income statement, adjusted for non-cash items, and changes in Balance Sheet accounts.</t>
    </r>
  </si>
  <si>
    <t>F4Q19E</t>
  </si>
  <si>
    <t>FY 2019E</t>
  </si>
  <si>
    <t>F1Q20E</t>
  </si>
  <si>
    <t>F2Q20E</t>
  </si>
  <si>
    <t>F3Q20E</t>
  </si>
  <si>
    <t>F4Q20E</t>
  </si>
  <si>
    <t>FY 2020E</t>
  </si>
  <si>
    <t>F2Q19</t>
  </si>
  <si>
    <t>F3Q19</t>
  </si>
  <si>
    <r>
      <rPr>
        <b/>
        <sz val="11"/>
        <color theme="1"/>
        <rFont val="Calibri"/>
        <family val="2"/>
        <scheme val="minor"/>
      </rPr>
      <t>Last updated:</t>
    </r>
    <r>
      <rPr>
        <sz val="11"/>
        <color theme="1"/>
        <rFont val="Calibri"/>
        <family val="2"/>
        <scheme val="minor"/>
      </rPr>
      <t xml:space="preserve"> 12/15/2019</t>
    </r>
  </si>
  <si>
    <r>
      <t xml:space="preserve">Last updated: </t>
    </r>
    <r>
      <rPr>
        <sz val="11"/>
        <color theme="1"/>
        <rFont val="Calibri"/>
        <family val="2"/>
        <scheme val="minor"/>
      </rPr>
      <t>12/15/2019</t>
    </r>
  </si>
  <si>
    <t>Blue cells = Contributor estimates (last updated 12/15/2019)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</si>
</sst>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0.00000"/>
    <numFmt numFmtId="226" formatCode="0.000%"/>
  </numFmts>
  <fonts count="7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i/>
      <sz val="11"/>
      <color theme="1"/>
      <name val="Calibri"/>
      <family val="2"/>
      <scheme val="minor"/>
    </font>
    <font>
      <i/>
      <sz val="8"/>
      <name val="Calibri"/>
      <family val="2"/>
      <scheme val="minor"/>
    </font>
    <font>
      <i/>
      <sz val="11"/>
      <color theme="3"/>
      <name val="Calibri"/>
      <family val="2"/>
      <scheme val="minor"/>
    </font>
    <font>
      <i/>
      <sz val="9"/>
      <color theme="3"/>
      <name val="Calibri"/>
      <family val="2"/>
      <scheme val="minor"/>
    </font>
    <font>
      <b/>
      <i/>
      <u/>
      <sz val="12"/>
      <color theme="3"/>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b/>
      <i/>
      <sz val="9"/>
      <color indexed="81"/>
      <name val="Tahoma"/>
      <family val="2"/>
    </font>
    <font>
      <i/>
      <sz val="9"/>
      <color indexed="81"/>
      <name val="Tahoma"/>
      <family val="2"/>
    </font>
  </fonts>
  <fills count="11">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rgb="FFFFFF00"/>
        <bgColor indexed="64"/>
      </patternFill>
    </fill>
  </fills>
  <borders count="44">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auto="1"/>
      </left>
      <right style="thin">
        <color auto="1"/>
      </right>
      <top style="hair">
        <color auto="1"/>
      </top>
      <bottom style="hair">
        <color auto="1"/>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255">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167" fontId="4" fillId="0" borderId="0" xfId="1" applyNumberFormat="1" applyFont="1" applyAlignment="1">
      <alignment horizontal="right"/>
    </xf>
    <xf numFmtId="43" fontId="4" fillId="0" borderId="0" xfId="1" applyFont="1"/>
    <xf numFmtId="165" fontId="4" fillId="0" borderId="5" xfId="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0" fontId="55" fillId="0" borderId="4" xfId="0" applyFont="1" applyBorder="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2" fillId="0" borderId="4" xfId="0" applyFont="1" applyBorder="1"/>
    <xf numFmtId="0" fontId="62" fillId="0" borderId="0" xfId="0" applyFont="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165" fontId="61" fillId="0" borderId="5" xfId="1" quotePrefix="1" applyNumberFormat="1" applyFont="1" applyBorder="1" applyAlignment="1">
      <alignment horizontal="right"/>
    </xf>
    <xf numFmtId="165" fontId="65" fillId="0" borderId="0" xfId="2" applyNumberFormat="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164" fontId="61" fillId="0" borderId="5" xfId="1" quotePrefix="1" applyNumberFormat="1" applyFont="1" applyBorder="1" applyAlignment="1">
      <alignment horizontal="right"/>
    </xf>
    <xf numFmtId="165" fontId="63" fillId="9" borderId="0" xfId="1" applyNumberFormat="1" applyFont="1" applyFill="1" applyAlignment="1">
      <alignment horizontal="right"/>
    </xf>
    <xf numFmtId="165" fontId="61" fillId="9" borderId="0" xfId="1" applyNumberFormat="1" applyFont="1" applyFill="1" applyAlignment="1">
      <alignment horizontal="right"/>
    </xf>
    <xf numFmtId="166" fontId="61" fillId="9"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43" fontId="61" fillId="0" borderId="7" xfId="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166" fontId="61" fillId="0" borderId="5" xfId="2" quotePrefix="1" applyNumberFormat="1" applyFont="1" applyBorder="1" applyAlignment="1">
      <alignment horizontal="right"/>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4" fillId="0" borderId="0" xfId="2" applyNumberFormat="1" applyFont="1" applyAlignment="1">
      <alignment horizontal="right"/>
    </xf>
    <xf numFmtId="5" fontId="64" fillId="0" borderId="4" xfId="1" applyNumberFormat="1" applyFont="1" applyBorder="1" applyAlignment="1">
      <alignment horizontal="right"/>
    </xf>
    <xf numFmtId="167" fontId="61" fillId="0" borderId="0" xfId="1" applyNumberFormat="1" applyFont="1" applyAlignment="1">
      <alignment horizontal="right"/>
    </xf>
    <xf numFmtId="5" fontId="62" fillId="0" borderId="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9" fontId="61" fillId="0" borderId="0" xfId="1" applyNumberFormat="1" applyFont="1" applyAlignment="1">
      <alignment horizontal="right"/>
    </xf>
    <xf numFmtId="0" fontId="2" fillId="0" borderId="0" xfId="0" applyFont="1"/>
    <xf numFmtId="164" fontId="6" fillId="2" borderId="34" xfId="1" quotePrefix="1" applyNumberFormat="1" applyFont="1" applyFill="1" applyBorder="1" applyAlignment="1">
      <alignment horizontal="center" vertical="center" wrapText="1"/>
    </xf>
    <xf numFmtId="0" fontId="0" fillId="0" borderId="41" xfId="0" applyBorder="1"/>
    <xf numFmtId="0" fontId="0" fillId="0" borderId="42" xfId="0" applyBorder="1"/>
    <xf numFmtId="0" fontId="0" fillId="0" borderId="39" xfId="0" applyBorder="1"/>
    <xf numFmtId="14" fontId="0" fillId="0" borderId="41" xfId="0" applyNumberFormat="1" applyBorder="1"/>
    <xf numFmtId="10" fontId="0" fillId="0" borderId="0" xfId="2" applyNumberFormat="1" applyFont="1"/>
    <xf numFmtId="10" fontId="0" fillId="0" borderId="0" xfId="0" applyNumberFormat="1"/>
    <xf numFmtId="14" fontId="0" fillId="0" borderId="38" xfId="0" applyNumberFormat="1" applyBorder="1"/>
    <xf numFmtId="10" fontId="0" fillId="0" borderId="39" xfId="0" applyNumberFormat="1" applyBorder="1"/>
    <xf numFmtId="0" fontId="0" fillId="0" borderId="36" xfId="0" applyBorder="1"/>
    <xf numFmtId="0" fontId="0" fillId="0" borderId="37" xfId="0" applyBorder="1"/>
    <xf numFmtId="0" fontId="2" fillId="0" borderId="0" xfId="0" applyFont="1" applyAlignment="1">
      <alignment horizontal="right"/>
    </xf>
    <xf numFmtId="0" fontId="2" fillId="0" borderId="42" xfId="0" applyFont="1" applyBorder="1"/>
    <xf numFmtId="0" fontId="0" fillId="10" borderId="0" xfId="0" applyFill="1"/>
    <xf numFmtId="0" fontId="2" fillId="10" borderId="0" xfId="0" applyFont="1" applyFill="1" applyAlignment="1">
      <alignment horizontal="right"/>
    </xf>
    <xf numFmtId="10" fontId="2" fillId="10" borderId="42" xfId="2" applyNumberFormat="1" applyFont="1" applyFill="1" applyBorder="1"/>
    <xf numFmtId="10" fontId="66" fillId="0" borderId="42" xfId="1" applyNumberFormat="1" applyFont="1" applyBorder="1"/>
    <xf numFmtId="0" fontId="66" fillId="0" borderId="0" xfId="0" applyFont="1" applyAlignment="1">
      <alignment horizontal="right"/>
    </xf>
    <xf numFmtId="225" fontId="0" fillId="0" borderId="42" xfId="0" applyNumberFormat="1" applyBorder="1"/>
    <xf numFmtId="225" fontId="0" fillId="0" borderId="40" xfId="0" applyNumberFormat="1" applyBorder="1"/>
    <xf numFmtId="166" fontId="61" fillId="0" borderId="0" xfId="2" applyNumberFormat="1" applyFont="1" applyAlignment="1">
      <alignment horizontal="left"/>
    </xf>
    <xf numFmtId="9" fontId="61" fillId="0" borderId="0" xfId="1" applyNumberFormat="1" applyFont="1" applyAlignment="1">
      <alignment horizontal="left"/>
    </xf>
    <xf numFmtId="10" fontId="61" fillId="0" borderId="0" xfId="1" applyNumberFormat="1" applyFont="1" applyAlignment="1">
      <alignment horizontal="right"/>
    </xf>
    <xf numFmtId="225" fontId="2" fillId="0" borderId="42" xfId="0" applyNumberFormat="1" applyFont="1" applyBorder="1"/>
    <xf numFmtId="0" fontId="0" fillId="0" borderId="38" xfId="0" applyBorder="1"/>
    <xf numFmtId="0" fontId="2" fillId="0" borderId="39" xfId="0" applyFont="1" applyBorder="1" applyAlignment="1">
      <alignment horizontal="right"/>
    </xf>
    <xf numFmtId="10" fontId="2" fillId="0" borderId="40" xfId="2" applyNumberFormat="1" applyFont="1" applyBorder="1"/>
    <xf numFmtId="14" fontId="0" fillId="0" borderId="35" xfId="0" applyNumberFormat="1" applyBorder="1"/>
    <xf numFmtId="164" fontId="61" fillId="0" borderId="8" xfId="1" applyNumberFormat="1" applyFont="1" applyBorder="1" applyAlignment="1">
      <alignment horizontal="right"/>
    </xf>
    <xf numFmtId="43" fontId="62" fillId="0" borderId="8" xfId="1" applyFont="1" applyBorder="1" applyAlignment="1">
      <alignment horizontal="right"/>
    </xf>
    <xf numFmtId="9" fontId="4" fillId="0" borderId="0" xfId="1" applyNumberFormat="1" applyFont="1"/>
    <xf numFmtId="10" fontId="2" fillId="10" borderId="0" xfId="0" applyNumberFormat="1" applyFont="1" applyFill="1"/>
    <xf numFmtId="165" fontId="0" fillId="0" borderId="36" xfId="1" applyNumberFormat="1" applyFont="1" applyBorder="1"/>
    <xf numFmtId="10" fontId="0" fillId="0" borderId="36" xfId="2" applyNumberFormat="1" applyFont="1" applyBorder="1"/>
    <xf numFmtId="10" fontId="0" fillId="0" borderId="36" xfId="0" applyNumberFormat="1" applyBorder="1"/>
    <xf numFmtId="165" fontId="0" fillId="0" borderId="39" xfId="1" applyNumberFormat="1" applyFont="1" applyBorder="1"/>
    <xf numFmtId="10" fontId="0" fillId="0" borderId="39" xfId="2" applyNumberFormat="1" applyFont="1" applyBorder="1"/>
    <xf numFmtId="0" fontId="61" fillId="0" borderId="4" xfId="0" applyFont="1" applyBorder="1" applyAlignment="1">
      <alignment horizontal="left" indent="1"/>
    </xf>
    <xf numFmtId="0" fontId="61" fillId="0" borderId="3" xfId="0" applyFont="1" applyBorder="1" applyAlignment="1">
      <alignment horizontal="left" indent="3"/>
    </xf>
    <xf numFmtId="0" fontId="62" fillId="0" borderId="3" xfId="0" applyFont="1" applyBorder="1" applyAlignment="1">
      <alignment horizontal="left" indent="4"/>
    </xf>
    <xf numFmtId="165" fontId="55" fillId="0" borderId="5" xfId="1" quotePrefix="1" applyNumberFormat="1" applyFont="1" applyBorder="1" applyAlignment="1">
      <alignment horizontal="right"/>
    </xf>
    <xf numFmtId="0" fontId="68" fillId="0" borderId="0" xfId="0" applyFont="1"/>
    <xf numFmtId="0" fontId="68" fillId="0" borderId="3" xfId="0" applyFont="1" applyBorder="1" applyAlignment="1">
      <alignment horizontal="left"/>
    </xf>
    <xf numFmtId="0" fontId="68" fillId="0" borderId="4" xfId="0" applyFont="1" applyBorder="1" applyAlignment="1">
      <alignment horizontal="left"/>
    </xf>
    <xf numFmtId="165" fontId="68" fillId="0" borderId="0" xfId="1" applyNumberFormat="1" applyFont="1" applyAlignment="1">
      <alignment horizontal="right"/>
    </xf>
    <xf numFmtId="165" fontId="68" fillId="9" borderId="0" xfId="1" applyNumberFormat="1" applyFont="1" applyFill="1" applyAlignment="1">
      <alignment horizontal="right"/>
    </xf>
    <xf numFmtId="165" fontId="68" fillId="0" borderId="5" xfId="1" quotePrefix="1" applyNumberFormat="1" applyFont="1" applyBorder="1" applyAlignment="1">
      <alignment horizontal="right"/>
    </xf>
    <xf numFmtId="0" fontId="68" fillId="0" borderId="3" xfId="0" applyFont="1" applyBorder="1" applyAlignment="1">
      <alignment horizontal="left" indent="2"/>
    </xf>
    <xf numFmtId="0" fontId="68" fillId="0" borderId="4" xfId="0" applyFont="1" applyBorder="1" applyAlignment="1">
      <alignment horizontal="left" indent="1"/>
    </xf>
    <xf numFmtId="164" fontId="68" fillId="0" borderId="0" xfId="1" applyNumberFormat="1" applyFont="1" applyAlignment="1">
      <alignment horizontal="right"/>
    </xf>
    <xf numFmtId="164" fontId="68" fillId="0" borderId="5" xfId="1" quotePrefix="1" applyNumberFormat="1" applyFont="1" applyBorder="1" applyAlignment="1">
      <alignment horizontal="right"/>
    </xf>
    <xf numFmtId="167" fontId="68" fillId="0" borderId="0" xfId="1" applyNumberFormat="1" applyFont="1" applyAlignment="1">
      <alignment horizontal="right"/>
    </xf>
    <xf numFmtId="167" fontId="68" fillId="0" borderId="5" xfId="1" quotePrefix="1" applyNumberFormat="1" applyFont="1" applyBorder="1" applyAlignment="1">
      <alignment horizontal="right"/>
    </xf>
    <xf numFmtId="165" fontId="62" fillId="0" borderId="30" xfId="1" applyNumberFormat="1" applyFont="1" applyBorder="1" applyAlignment="1">
      <alignment horizontal="right"/>
    </xf>
    <xf numFmtId="166" fontId="62" fillId="0" borderId="0" xfId="2" applyNumberFormat="1" applyFont="1" applyAlignment="1">
      <alignment horizontal="right"/>
    </xf>
    <xf numFmtId="0" fontId="69" fillId="0" borderId="0" xfId="0" applyFont="1"/>
    <xf numFmtId="0" fontId="70" fillId="0" borderId="4" xfId="0" applyFont="1" applyBorder="1" applyAlignment="1">
      <alignment horizontal="left"/>
    </xf>
    <xf numFmtId="43" fontId="65" fillId="0" borderId="0" xfId="1" applyFont="1" applyAlignment="1">
      <alignment horizontal="right"/>
    </xf>
    <xf numFmtId="164" fontId="65" fillId="0" borderId="0" xfId="1" applyNumberFormat="1" applyFont="1" applyAlignment="1">
      <alignment horizontal="right"/>
    </xf>
    <xf numFmtId="43" fontId="61" fillId="9" borderId="7" xfId="1" applyFont="1" applyFill="1" applyBorder="1" applyAlignment="1">
      <alignment horizontal="right"/>
    </xf>
    <xf numFmtId="43" fontId="65" fillId="0" borderId="0" xfId="2" applyNumberFormat="1" applyFont="1" applyAlignment="1">
      <alignment horizontal="right"/>
    </xf>
    <xf numFmtId="43" fontId="61" fillId="0" borderId="5" xfId="1" quotePrefix="1" applyFont="1" applyBorder="1" applyAlignment="1">
      <alignment horizontal="right"/>
    </xf>
    <xf numFmtId="0" fontId="64" fillId="0" borderId="4" xfId="0" applyFont="1" applyBorder="1" applyAlignment="1">
      <alignment horizontal="left"/>
    </xf>
    <xf numFmtId="0" fontId="62" fillId="0" borderId="3" xfId="0" applyFont="1" applyBorder="1" applyAlignment="1">
      <alignment horizontal="left" indent="3"/>
    </xf>
    <xf numFmtId="0" fontId="62" fillId="0" borderId="4" xfId="0" applyFont="1" applyBorder="1" applyAlignment="1">
      <alignment horizontal="left" indent="2"/>
    </xf>
    <xf numFmtId="0" fontId="64" fillId="0" borderId="26" xfId="0" applyFont="1" applyBorder="1" applyAlignment="1">
      <alignment horizontal="left"/>
    </xf>
    <xf numFmtId="10" fontId="4" fillId="0" borderId="0" xfId="2" applyNumberFormat="1" applyFont="1" applyAlignment="1">
      <alignment horizontal="right"/>
    </xf>
    <xf numFmtId="166" fontId="62" fillId="0" borderId="5" xfId="2" quotePrefix="1" applyNumberFormat="1" applyFont="1" applyBorder="1" applyAlignment="1">
      <alignment horizontal="right"/>
    </xf>
    <xf numFmtId="165" fontId="54" fillId="0" borderId="0" xfId="1" applyNumberFormat="1" applyFont="1" applyAlignment="1">
      <alignment horizontal="right"/>
    </xf>
    <xf numFmtId="165" fontId="54" fillId="0" borderId="5" xfId="1" applyNumberFormat="1" applyFont="1" applyBorder="1" applyAlignment="1">
      <alignment horizontal="right"/>
    </xf>
    <xf numFmtId="43" fontId="55" fillId="0" borderId="5" xfId="1" quotePrefix="1" applyFont="1" applyBorder="1" applyAlignment="1">
      <alignment horizontal="right"/>
    </xf>
    <xf numFmtId="43" fontId="55" fillId="0" borderId="0" xfId="1" applyFont="1"/>
    <xf numFmtId="165" fontId="62" fillId="0" borderId="5" xfId="1" quotePrefix="1" applyNumberFormat="1" applyFont="1" applyBorder="1" applyAlignment="1">
      <alignment horizontal="right"/>
    </xf>
    <xf numFmtId="0" fontId="0" fillId="0" borderId="0" xfId="0" applyAlignment="1">
      <alignment horizontal="left" vertical="top" wrapText="1"/>
    </xf>
    <xf numFmtId="0" fontId="62" fillId="0" borderId="25" xfId="0" applyFont="1" applyBorder="1" applyAlignment="1">
      <alignment horizontal="left"/>
    </xf>
    <xf numFmtId="166" fontId="62" fillId="0" borderId="31" xfId="2" applyNumberFormat="1" applyFont="1" applyBorder="1" applyAlignment="1">
      <alignment horizontal="right"/>
    </xf>
    <xf numFmtId="166" fontId="62" fillId="0" borderId="32" xfId="2" quotePrefix="1" applyNumberFormat="1" applyFont="1" applyBorder="1" applyAlignment="1">
      <alignment horizontal="right"/>
    </xf>
    <xf numFmtId="166" fontId="62" fillId="9" borderId="31" xfId="2" applyNumberFormat="1" applyFont="1" applyFill="1" applyBorder="1" applyAlignment="1">
      <alignment horizontal="right"/>
    </xf>
    <xf numFmtId="0" fontId="61" fillId="0" borderId="12" xfId="0" applyFont="1" applyBorder="1" applyAlignment="1">
      <alignment horizontal="left"/>
    </xf>
    <xf numFmtId="0" fontId="64" fillId="0" borderId="13" xfId="0" applyFont="1" applyBorder="1" applyAlignment="1">
      <alignment horizontal="left"/>
    </xf>
    <xf numFmtId="43" fontId="61" fillId="0" borderId="30" xfId="1" applyFont="1" applyBorder="1" applyAlignment="1">
      <alignment horizontal="right"/>
    </xf>
    <xf numFmtId="43" fontId="61" fillId="0" borderId="29" xfId="1" quotePrefix="1" applyFont="1" applyBorder="1" applyAlignment="1">
      <alignment horizontal="right"/>
    </xf>
    <xf numFmtId="165" fontId="55" fillId="0" borderId="29" xfId="1" quotePrefix="1" applyNumberFormat="1" applyFont="1" applyBorder="1" applyAlignment="1">
      <alignment horizontal="right"/>
    </xf>
    <xf numFmtId="164" fontId="68" fillId="9" borderId="0" xfId="1" applyNumberFormat="1" applyFont="1" applyFill="1" applyAlignment="1">
      <alignment horizontal="right"/>
    </xf>
    <xf numFmtId="165" fontId="63" fillId="0" borderId="5" xfId="1" quotePrefix="1" applyNumberFormat="1" applyFont="1" applyBorder="1" applyAlignment="1">
      <alignment horizontal="right"/>
    </xf>
    <xf numFmtId="0" fontId="61" fillId="0" borderId="3" xfId="0" applyFont="1" applyBorder="1" applyAlignment="1">
      <alignment horizontal="left" vertical="top" indent="1"/>
    </xf>
    <xf numFmtId="0" fontId="61" fillId="0" borderId="6" xfId="0" applyFont="1" applyBorder="1" applyAlignment="1">
      <alignment horizontal="left" indent="2"/>
    </xf>
    <xf numFmtId="0" fontId="71" fillId="0" borderId="33" xfId="0" applyFont="1" applyBorder="1" applyAlignment="1">
      <alignment vertical="center"/>
    </xf>
    <xf numFmtId="0" fontId="0" fillId="0" borderId="29" xfId="0" applyBorder="1" applyAlignment="1">
      <alignment horizontal="left" vertical="top" wrapText="1"/>
    </xf>
    <xf numFmtId="0" fontId="0" fillId="0" borderId="0" xfId="0" applyAlignment="1">
      <alignment horizontal="left" indent="1"/>
    </xf>
    <xf numFmtId="0" fontId="53" fillId="0" borderId="0" xfId="329" applyAlignment="1">
      <alignment horizontal="left" indent="1"/>
    </xf>
    <xf numFmtId="0" fontId="0" fillId="0" borderId="5" xfId="0" applyBorder="1" applyAlignment="1">
      <alignment horizontal="left" vertical="top" wrapText="1"/>
    </xf>
    <xf numFmtId="0" fontId="0" fillId="0" borderId="43" xfId="0" applyBorder="1" applyAlignment="1">
      <alignment horizontal="left" vertical="top" wrapText="1"/>
    </xf>
    <xf numFmtId="0" fontId="0" fillId="0" borderId="43" xfId="0" applyBorder="1" applyAlignment="1">
      <alignment horizontal="left" vertical="top" wrapText="1" indent="2"/>
    </xf>
    <xf numFmtId="0" fontId="0" fillId="0" borderId="5" xfId="0" applyBorder="1" applyAlignment="1">
      <alignment horizontal="left" vertical="top" wrapText="1" indent="2"/>
    </xf>
    <xf numFmtId="0" fontId="2" fillId="0" borderId="5" xfId="0" applyFont="1" applyBorder="1" applyAlignment="1">
      <alignment horizontal="left" vertical="top" wrapText="1" indent="2"/>
    </xf>
    <xf numFmtId="0" fontId="0" fillId="0" borderId="32" xfId="0" applyBorder="1" applyAlignment="1">
      <alignment horizontal="left" vertical="top" wrapText="1"/>
    </xf>
    <xf numFmtId="0" fontId="72" fillId="0" borderId="32" xfId="0" applyFont="1" applyBorder="1" applyAlignment="1">
      <alignment horizontal="left" vertical="top" wrapText="1"/>
    </xf>
    <xf numFmtId="0" fontId="61" fillId="0" borderId="10" xfId="0" applyFont="1" applyBorder="1" applyAlignment="1">
      <alignment horizontal="left" indent="1"/>
    </xf>
    <xf numFmtId="0" fontId="72" fillId="0" borderId="43" xfId="0" applyFont="1" applyBorder="1" applyAlignment="1">
      <alignment horizontal="left" vertical="top" wrapText="1"/>
    </xf>
    <xf numFmtId="0" fontId="53" fillId="0" borderId="8" xfId="329" applyBorder="1" applyAlignment="1">
      <alignment horizontal="left" vertical="top" wrapText="1" indent="4"/>
    </xf>
    <xf numFmtId="0" fontId="2" fillId="0" borderId="43" xfId="0" applyFont="1" applyBorder="1" applyAlignment="1">
      <alignment horizontal="left" vertical="top" wrapText="1"/>
    </xf>
    <xf numFmtId="0" fontId="74" fillId="0" borderId="0" xfId="0" applyFont="1"/>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2" fillId="0" borderId="0" xfId="1" applyNumberFormat="1" applyFont="1" applyFill="1" applyAlignment="1">
      <alignment horizontal="right"/>
    </xf>
    <xf numFmtId="165" fontId="54" fillId="0" borderId="0" xfId="1" applyNumberFormat="1" applyFont="1" applyFill="1" applyAlignment="1">
      <alignment horizontal="right"/>
    </xf>
    <xf numFmtId="43" fontId="62" fillId="0" borderId="0" xfId="1" applyFont="1" applyFill="1" applyAlignment="1">
      <alignment horizontal="right"/>
    </xf>
    <xf numFmtId="43" fontId="61" fillId="0" borderId="7" xfId="1" applyFont="1" applyFill="1" applyBorder="1" applyAlignment="1">
      <alignment horizontal="right"/>
    </xf>
    <xf numFmtId="7" fontId="61" fillId="0" borderId="0" xfId="1" applyNumberFormat="1" applyFont="1" applyFill="1" applyAlignment="1">
      <alignment horizontal="right"/>
    </xf>
    <xf numFmtId="164" fontId="61" fillId="0" borderId="7" xfId="1" applyNumberFormat="1" applyFont="1" applyFill="1" applyBorder="1" applyAlignment="1">
      <alignment horizontal="right"/>
    </xf>
    <xf numFmtId="0" fontId="4" fillId="0" borderId="0" xfId="0" applyFont="1" applyFill="1"/>
    <xf numFmtId="164" fontId="61" fillId="0" borderId="0" xfId="1" applyNumberFormat="1" applyFont="1" applyAlignment="1">
      <alignment horizontal="right"/>
    </xf>
    <xf numFmtId="0" fontId="55" fillId="0" borderId="0" xfId="0" applyFont="1" applyFill="1"/>
    <xf numFmtId="166" fontId="62" fillId="0" borderId="32" xfId="2" quotePrefix="1" applyNumberFormat="1" applyFont="1" applyFill="1" applyBorder="1" applyAlignment="1">
      <alignment horizontal="right"/>
    </xf>
    <xf numFmtId="166" fontId="62" fillId="0" borderId="31" xfId="2" applyNumberFormat="1" applyFont="1" applyFill="1" applyBorder="1" applyAlignment="1">
      <alignment horizontal="right"/>
    </xf>
    <xf numFmtId="0" fontId="68" fillId="0" borderId="0" xfId="0" applyFont="1" applyFill="1"/>
    <xf numFmtId="0" fontId="69" fillId="0" borderId="0" xfId="0" applyFont="1" applyFill="1"/>
    <xf numFmtId="0" fontId="61" fillId="0" borderId="0" xfId="0" applyFont="1" applyFill="1"/>
    <xf numFmtId="166" fontId="61" fillId="0" borderId="5" xfId="2" applyNumberFormat="1" applyFont="1" applyFill="1" applyBorder="1" applyAlignment="1">
      <alignment horizontal="right"/>
    </xf>
    <xf numFmtId="9" fontId="62" fillId="0" borderId="0" xfId="2" applyFont="1" applyAlignment="1">
      <alignment horizontal="right"/>
    </xf>
    <xf numFmtId="17" fontId="61" fillId="0" borderId="0" xfId="1" quotePrefix="1" applyNumberFormat="1" applyFont="1" applyFill="1" applyAlignment="1">
      <alignment horizontal="right" wrapText="1"/>
    </xf>
    <xf numFmtId="43" fontId="61" fillId="0" borderId="30" xfId="1" applyNumberFormat="1" applyFont="1" applyBorder="1" applyAlignment="1">
      <alignment horizontal="right"/>
    </xf>
    <xf numFmtId="165" fontId="61"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165" fontId="61" fillId="0" borderId="5" xfId="1" quotePrefix="1" applyNumberFormat="1" applyFont="1" applyFill="1" applyBorder="1" applyAlignment="1">
      <alignment horizontal="right"/>
    </xf>
    <xf numFmtId="9" fontId="4" fillId="0" borderId="0" xfId="1" applyNumberFormat="1" applyFont="1" applyFill="1"/>
    <xf numFmtId="5" fontId="62" fillId="0" borderId="26" xfId="1" applyNumberFormat="1" applyFont="1" applyBorder="1" applyAlignment="1">
      <alignment horizontal="right"/>
    </xf>
    <xf numFmtId="0" fontId="0" fillId="0" borderId="0" xfId="0" applyFill="1"/>
    <xf numFmtId="43" fontId="62" fillId="0" borderId="5" xfId="1" applyFont="1" applyFill="1" applyBorder="1" applyAlignment="1">
      <alignment horizontal="right"/>
    </xf>
    <xf numFmtId="43" fontId="61" fillId="0" borderId="0" xfId="1" applyFont="1" applyFill="1" applyAlignment="1">
      <alignment horizontal="right"/>
    </xf>
    <xf numFmtId="43" fontId="67" fillId="0" borderId="0" xfId="1" applyFont="1" applyAlignment="1">
      <alignment horizontal="right"/>
    </xf>
    <xf numFmtId="0" fontId="62" fillId="0" borderId="23" xfId="0" applyFont="1" applyFill="1" applyBorder="1" applyAlignment="1">
      <alignment horizontal="left"/>
    </xf>
    <xf numFmtId="5" fontId="62" fillId="0" borderId="24" xfId="1" applyNumberFormat="1" applyFont="1" applyFill="1" applyBorder="1" applyAlignment="1">
      <alignment horizontal="right"/>
    </xf>
    <xf numFmtId="0" fontId="61" fillId="0" borderId="6" xfId="0" applyFont="1" applyBorder="1" applyAlignment="1">
      <alignment horizontal="left"/>
    </xf>
    <xf numFmtId="0" fontId="61" fillId="0" borderId="10"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2" fillId="0" borderId="3" xfId="0" applyFont="1" applyBorder="1" applyAlignment="1">
      <alignment horizontal="left" indent="3"/>
    </xf>
    <xf numFmtId="0" fontId="62" fillId="0" borderId="4" xfId="0" applyFont="1" applyBorder="1" applyAlignment="1">
      <alignment horizontal="left" indent="3"/>
    </xf>
    <xf numFmtId="0" fontId="61" fillId="9" borderId="1" xfId="0" applyFont="1" applyFill="1" applyBorder="1" applyAlignment="1">
      <alignment horizontal="left"/>
    </xf>
    <xf numFmtId="0" fontId="61" fillId="9" borderId="11"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0" fillId="0" borderId="4" xfId="0" applyFont="1" applyBorder="1" applyAlignment="1">
      <alignment horizontal="center" wrapText="1"/>
    </xf>
    <xf numFmtId="0" fontId="62" fillId="0" borderId="3" xfId="0" applyFont="1" applyBorder="1" applyAlignment="1">
      <alignment horizontal="left" indent="4"/>
    </xf>
    <xf numFmtId="0" fontId="62" fillId="0" borderId="4" xfId="0" applyFont="1" applyBorder="1" applyAlignment="1">
      <alignment horizontal="left" indent="4"/>
    </xf>
    <xf numFmtId="0" fontId="61" fillId="0" borderId="3" xfId="0" applyFont="1" applyBorder="1" applyAlignment="1">
      <alignment horizontal="left" indent="1"/>
    </xf>
    <xf numFmtId="0" fontId="61"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2" fillId="0" borderId="0" xfId="0" applyFont="1" applyAlignment="1">
      <alignment horizontal="center" vertical="top" wrapText="1"/>
    </xf>
    <xf numFmtId="166" fontId="62" fillId="0" borderId="5" xfId="2" quotePrefix="1" applyNumberFormat="1" applyFont="1" applyFill="1" applyBorder="1" applyAlignment="1">
      <alignment horizontal="right"/>
    </xf>
    <xf numFmtId="164" fontId="55" fillId="0" borderId="5" xfId="1" quotePrefix="1" applyNumberFormat="1" applyFont="1" applyFill="1" applyBorder="1" applyAlignment="1">
      <alignment horizontal="right"/>
    </xf>
    <xf numFmtId="164" fontId="68" fillId="0" borderId="5" xfId="1" quotePrefix="1" applyNumberFormat="1" applyFont="1" applyFill="1" applyBorder="1" applyAlignment="1">
      <alignment horizontal="right"/>
    </xf>
    <xf numFmtId="43" fontId="55" fillId="0" borderId="5" xfId="1" quotePrefix="1" applyFont="1" applyFill="1" applyBorder="1" applyAlignment="1">
      <alignment horizontal="right"/>
    </xf>
    <xf numFmtId="165" fontId="62" fillId="0" borderId="5" xfId="1" quotePrefix="1" applyNumberFormat="1" applyFont="1" applyFill="1" applyBorder="1" applyAlignment="1">
      <alignment horizontal="right"/>
    </xf>
    <xf numFmtId="226" fontId="62" fillId="0" borderId="5" xfId="2" quotePrefix="1" applyNumberFormat="1" applyFont="1" applyFill="1" applyBorder="1" applyAlignment="1">
      <alignment horizontal="right"/>
    </xf>
    <xf numFmtId="0" fontId="61" fillId="0" borderId="3" xfId="0" applyFont="1" applyFill="1" applyBorder="1" applyAlignment="1">
      <alignment horizontal="left"/>
    </xf>
    <xf numFmtId="0" fontId="61" fillId="0" borderId="4" xfId="0" applyFont="1" applyFill="1" applyBorder="1" applyAlignment="1">
      <alignment horizontal="left"/>
    </xf>
    <xf numFmtId="164" fontId="4" fillId="0" borderId="0" xfId="1" applyNumberFormat="1" applyFont="1" applyFill="1" applyAlignment="1">
      <alignment horizontal="right"/>
    </xf>
    <xf numFmtId="0" fontId="4" fillId="0" borderId="0" xfId="0" applyFont="1" applyFill="1" applyAlignment="1">
      <alignment horizontal="right"/>
    </xf>
    <xf numFmtId="0" fontId="74" fillId="0" borderId="0" xfId="0" applyFont="1" applyFill="1"/>
    <xf numFmtId="0" fontId="61" fillId="0" borderId="6" xfId="0" applyFont="1" applyFill="1" applyBorder="1" applyAlignment="1">
      <alignment horizontal="left"/>
    </xf>
    <xf numFmtId="0" fontId="61" fillId="0" borderId="10" xfId="0" applyFont="1" applyFill="1" applyBorder="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Home</a:t>
            </a:r>
            <a:r>
              <a:rPr lang="en-US" sz="1200" b="0" baseline="0"/>
              <a:t> Depot </a:t>
            </a:r>
            <a:r>
              <a:rPr lang="en-US" sz="1200" b="0"/>
              <a:t>Comp Store</a:t>
            </a:r>
            <a:r>
              <a:rPr lang="en-US" sz="1200" b="0" baseline="0"/>
              <a:t> Forecast</a:t>
            </a:r>
            <a:endParaRPr lang="en-US" sz="1200" b="0"/>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Model'!$B$37:$C$37</c:f>
              <c:strCache>
                <c:ptCount val="2"/>
                <c:pt idx="0">
                  <c:v>Store Count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Model'!$L$36,'Earnings Model'!$N$36,'Earnings Model'!$O$36,'Earnings Model'!$P$36,'Earnings Model'!$Q$36,'Earnings Model'!$S$36,'Earnings Model'!$T$36,'Earnings Model'!$U$36)</c:f>
              <c:strCache>
                <c:ptCount val="7"/>
                <c:pt idx="0">
                  <c:v> F1Q19 </c:v>
                </c:pt>
                <c:pt idx="1">
                  <c:v> F2Q19 </c:v>
                </c:pt>
                <c:pt idx="2">
                  <c:v> F3Q19 </c:v>
                </c:pt>
                <c:pt idx="3">
                  <c:v> F4Q19E </c:v>
                </c:pt>
                <c:pt idx="4">
                  <c:v> F1Q20E </c:v>
                </c:pt>
                <c:pt idx="5">
                  <c:v> F2Q20E </c:v>
                </c:pt>
                <c:pt idx="6">
                  <c:v> F3Q20E </c:v>
                </c:pt>
              </c:strCache>
            </c:strRef>
          </c:cat>
          <c:val>
            <c:numRef>
              <c:f>('Earnings Model'!$L$37,'Earnings Model'!$N$37,'Earnings Model'!$O$37,'Earnings Model'!$P$37,'Earnings Model'!$Q$37,'Earnings Model'!$S$37,'Earnings Model'!$T$37,'Earnings Model'!$U$37)</c:f>
              <c:numCache>
                <c:formatCode>_(* #,##0_);_(* \(#,##0\);_(* "-"??_);_(@_)</c:formatCode>
                <c:ptCount val="7"/>
                <c:pt idx="0">
                  <c:v>2289</c:v>
                </c:pt>
                <c:pt idx="1">
                  <c:v>2291</c:v>
                </c:pt>
                <c:pt idx="2">
                  <c:v>2290</c:v>
                </c:pt>
                <c:pt idx="3">
                  <c:v>2292</c:v>
                </c:pt>
                <c:pt idx="4">
                  <c:v>2293</c:v>
                </c:pt>
                <c:pt idx="5">
                  <c:v>2294</c:v>
                </c:pt>
                <c:pt idx="6">
                  <c:v>2295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Model'!$B$46</c:f>
              <c:strCache>
                <c:ptCount val="1"/>
                <c:pt idx="0">
                  <c:v>Comparable store sales</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Model'!$L$36,'Earnings Model'!$N$36,'Earnings Model'!$O$36,'Earnings Model'!$P$36,'Earnings Model'!$Q$36,'Earnings Model'!$S$36,'Earnings Model'!$T$36,'Earnings Model'!$U$36)</c:f>
              <c:strCache>
                <c:ptCount val="7"/>
                <c:pt idx="0">
                  <c:v> F1Q19 </c:v>
                </c:pt>
                <c:pt idx="1">
                  <c:v> F2Q19 </c:v>
                </c:pt>
                <c:pt idx="2">
                  <c:v> F3Q19 </c:v>
                </c:pt>
                <c:pt idx="3">
                  <c:v> F4Q19E </c:v>
                </c:pt>
                <c:pt idx="4">
                  <c:v> F1Q20E </c:v>
                </c:pt>
                <c:pt idx="5">
                  <c:v> F2Q20E </c:v>
                </c:pt>
                <c:pt idx="6">
                  <c:v> F3Q20E </c:v>
                </c:pt>
              </c:strCache>
            </c:strRef>
          </c:cat>
          <c:val>
            <c:numRef>
              <c:f>('Earnings Model'!$L$46,'Earnings Model'!$N$46,'Earnings Model'!$O$46,'Earnings Model'!$P$46,'Earnings Model'!$Q$46,'Earnings Model'!$S$46,'Earnings Model'!$T$46,'Earnings Model'!$U$46)</c:f>
              <c:numCache>
                <c:formatCode>0.0%</c:formatCode>
                <c:ptCount val="7"/>
                <c:pt idx="0">
                  <c:v>2.5000000000000001E-2</c:v>
                </c:pt>
                <c:pt idx="1">
                  <c:v>0.03</c:v>
                </c:pt>
                <c:pt idx="2">
                  <c:v>3.5999999999999997E-2</c:v>
                </c:pt>
                <c:pt idx="3">
                  <c:v>4.2999999999999997E-2</c:v>
                </c:pt>
                <c:pt idx="4">
                  <c:v>4.1000000000000002E-2</c:v>
                </c:pt>
                <c:pt idx="5">
                  <c:v>3.6999999999999998E-2</c:v>
                </c:pt>
                <c:pt idx="6">
                  <c:v>3.6999999999999998E-2</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35</xdr:row>
      <xdr:rowOff>0</xdr:rowOff>
    </xdr:from>
    <xdr:to>
      <xdr:col>3</xdr:col>
      <xdr:colOff>0</xdr:colOff>
      <xdr:row>35</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xdr:colOff>
      <xdr:row>3</xdr:row>
      <xdr:rowOff>169545</xdr:rowOff>
    </xdr:from>
    <xdr:to>
      <xdr:col>5</xdr:col>
      <xdr:colOff>495300</xdr:colOff>
      <xdr:row>12</xdr:row>
      <xdr:rowOff>66675</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CB304-5957-4079-BD06-9B65D8CD811D}">
  <dimension ref="B2:C23"/>
  <sheetViews>
    <sheetView showGridLines="0" topLeftCell="A6" workbookViewId="0">
      <selection activeCell="B7" sqref="B7"/>
    </sheetView>
  </sheetViews>
  <sheetFormatPr defaultRowHeight="15" x14ac:dyDescent="0.25"/>
  <cols>
    <col min="1" max="1" width="1.140625" customWidth="1"/>
    <col min="2" max="2" width="152" customWidth="1"/>
  </cols>
  <sheetData>
    <row r="2" spans="2:2" ht="28.9" customHeight="1" x14ac:dyDescent="0.25">
      <c r="B2" s="167" t="s">
        <v>97</v>
      </c>
    </row>
    <row r="3" spans="2:2" ht="156" customHeight="1" x14ac:dyDescent="0.25">
      <c r="B3" s="171" t="s">
        <v>112</v>
      </c>
    </row>
    <row r="4" spans="2:2" ht="34.15" customHeight="1" x14ac:dyDescent="0.25">
      <c r="B4" s="172" t="s">
        <v>113</v>
      </c>
    </row>
    <row r="5" spans="2:2" ht="53.25" customHeight="1" x14ac:dyDescent="0.25">
      <c r="B5" s="172" t="s">
        <v>115</v>
      </c>
    </row>
    <row r="6" spans="2:2" ht="93.6" customHeight="1" x14ac:dyDescent="0.25">
      <c r="B6" s="168" t="s">
        <v>101</v>
      </c>
    </row>
    <row r="7" spans="2:2" ht="255.75" customHeight="1" x14ac:dyDescent="0.25">
      <c r="B7" s="168" t="s">
        <v>111</v>
      </c>
    </row>
    <row r="8" spans="2:2" ht="45" x14ac:dyDescent="0.25">
      <c r="B8" s="172" t="s">
        <v>102</v>
      </c>
    </row>
    <row r="9" spans="2:2" ht="30" x14ac:dyDescent="0.25">
      <c r="B9" s="171" t="s">
        <v>103</v>
      </c>
    </row>
    <row r="10" spans="2:2" x14ac:dyDescent="0.25">
      <c r="B10" s="173" t="s">
        <v>104</v>
      </c>
    </row>
    <row r="11" spans="2:2" ht="50.45" customHeight="1" x14ac:dyDescent="0.25">
      <c r="B11" s="174" t="s">
        <v>105</v>
      </c>
    </row>
    <row r="12" spans="2:2" ht="19.899999999999999" customHeight="1" x14ac:dyDescent="0.25">
      <c r="B12" s="173" t="s">
        <v>106</v>
      </c>
    </row>
    <row r="13" spans="2:2" ht="75" x14ac:dyDescent="0.25">
      <c r="B13" s="179" t="s">
        <v>114</v>
      </c>
    </row>
    <row r="14" spans="2:2" ht="17.45" customHeight="1" x14ac:dyDescent="0.25">
      <c r="B14" s="174" t="s">
        <v>98</v>
      </c>
    </row>
    <row r="15" spans="2:2" x14ac:dyDescent="0.25">
      <c r="B15" s="173" t="s">
        <v>107</v>
      </c>
    </row>
    <row r="16" spans="2:2" ht="60" x14ac:dyDescent="0.25">
      <c r="B16" s="174" t="s">
        <v>110</v>
      </c>
    </row>
    <row r="17" spans="2:3" x14ac:dyDescent="0.25">
      <c r="B17" s="177" t="s">
        <v>117</v>
      </c>
    </row>
    <row r="18" spans="2:3" s="169" customFormat="1" x14ac:dyDescent="0.25">
      <c r="B18" s="175" t="s">
        <v>108</v>
      </c>
    </row>
    <row r="19" spans="2:3" s="169" customFormat="1" x14ac:dyDescent="0.25">
      <c r="B19" s="175" t="s">
        <v>109</v>
      </c>
    </row>
    <row r="20" spans="2:3" s="169" customFormat="1" ht="195" x14ac:dyDescent="0.25">
      <c r="B20" s="181" t="s">
        <v>116</v>
      </c>
    </row>
    <row r="21" spans="2:3" s="169" customFormat="1" x14ac:dyDescent="0.25">
      <c r="B21" s="176" t="s">
        <v>99</v>
      </c>
      <c r="C21" s="170"/>
    </row>
    <row r="22" spans="2:3" s="169" customFormat="1" ht="20.45" customHeight="1" x14ac:dyDescent="0.25">
      <c r="B22" s="180" t="s">
        <v>100</v>
      </c>
    </row>
    <row r="23" spans="2:3" x14ac:dyDescent="0.25">
      <c r="B23" s="153"/>
    </row>
  </sheetData>
  <hyperlinks>
    <hyperlink ref="B22" r:id="rId1" xr:uid="{F0504665-8848-4835-9435-1726D29F578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S67"/>
  <sheetViews>
    <sheetView showGridLines="0" tabSelected="1" topLeftCell="A3" zoomScaleNormal="100" workbookViewId="0">
      <pane xSplit="3" ySplit="11" topLeftCell="D14" activePane="bottomRight" state="frozen"/>
      <selection activeCell="A3" sqref="A3"/>
      <selection pane="topRight" activeCell="D3" sqref="D3"/>
      <selection pane="bottomLeft" activeCell="A14" sqref="A14"/>
      <selection pane="bottomRight" activeCell="B12" sqref="B12:C12"/>
    </sheetView>
  </sheetViews>
  <sheetFormatPr defaultColWidth="8.85546875" defaultRowHeight="15" outlineLevelRow="1" outlineLevelCol="1" x14ac:dyDescent="0.25"/>
  <cols>
    <col min="1" max="1" width="1.7109375" style="4" customWidth="1"/>
    <col min="2" max="2" width="37.85546875" style="4" customWidth="1"/>
    <col min="3" max="3" width="17" style="4" customWidth="1"/>
    <col min="4" max="5" width="11.5703125" style="3" hidden="1" customWidth="1" outlineLevel="1"/>
    <col min="6" max="7" width="11.5703125" style="11" hidden="1" customWidth="1" outlineLevel="1"/>
    <col min="8" max="8" width="11.5703125" style="11" customWidth="1" collapsed="1"/>
    <col min="9" max="10" width="11.5703125" style="3" hidden="1" customWidth="1" outlineLevel="1"/>
    <col min="11" max="12" width="11.5703125" style="11" hidden="1" customWidth="1" outlineLevel="1"/>
    <col min="13" max="13" width="11.5703125" style="11" customWidth="1" collapsed="1"/>
    <col min="14" max="15" width="11.5703125" style="3" customWidth="1" outlineLevel="1"/>
    <col min="16" max="17" width="11.5703125" style="11" customWidth="1" outlineLevel="1"/>
    <col min="18" max="18" width="11.5703125" style="11" customWidth="1"/>
    <col min="19" max="20" width="11.5703125" style="3" customWidth="1" outlineLevel="1"/>
    <col min="21" max="22" width="11.5703125" style="11" customWidth="1" outlineLevel="1"/>
    <col min="23" max="23" width="11.5703125" style="11" customWidth="1"/>
    <col min="24" max="16384" width="8.85546875" style="4"/>
  </cols>
  <sheetData>
    <row r="1" spans="1:45" ht="9" customHeight="1" x14ac:dyDescent="0.25">
      <c r="B1" s="182" t="s">
        <v>14</v>
      </c>
    </row>
    <row r="2" spans="1:45" ht="45" customHeight="1" x14ac:dyDescent="0.25">
      <c r="B2" s="222" t="s">
        <v>13</v>
      </c>
      <c r="C2" s="223"/>
      <c r="F2" s="12"/>
    </row>
    <row r="3" spans="1:45" x14ac:dyDescent="0.25">
      <c r="B3" s="226" t="s">
        <v>129</v>
      </c>
      <c r="C3" s="227"/>
    </row>
    <row r="4" spans="1:45" s="191" customFormat="1" hidden="1" x14ac:dyDescent="0.25">
      <c r="B4" s="246"/>
      <c r="C4" s="247"/>
      <c r="D4" s="248"/>
      <c r="E4" s="248"/>
      <c r="F4" s="249"/>
      <c r="G4" s="249"/>
      <c r="H4" s="249"/>
      <c r="I4" s="248"/>
      <c r="J4" s="248"/>
      <c r="K4" s="249"/>
      <c r="L4" s="249"/>
      <c r="M4" s="249"/>
      <c r="N4" s="248"/>
      <c r="O4" s="248"/>
      <c r="P4" s="249"/>
      <c r="Q4" s="249"/>
      <c r="R4" s="249"/>
      <c r="S4" s="248"/>
      <c r="T4" s="248"/>
      <c r="U4" s="249"/>
      <c r="V4" s="249"/>
      <c r="W4" s="249"/>
      <c r="AS4" s="250"/>
    </row>
    <row r="5" spans="1:45" s="191" customFormat="1" hidden="1" x14ac:dyDescent="0.25">
      <c r="B5" s="251"/>
      <c r="C5" s="252"/>
      <c r="D5" s="253"/>
      <c r="E5" s="253"/>
      <c r="F5" s="253"/>
      <c r="G5" s="253"/>
      <c r="H5" s="254"/>
      <c r="I5" s="254"/>
      <c r="J5" s="254"/>
      <c r="K5" s="254"/>
      <c r="L5" s="254"/>
      <c r="M5" s="254"/>
      <c r="N5" s="254"/>
      <c r="O5" s="254"/>
      <c r="P5" s="254"/>
      <c r="Q5" s="254"/>
      <c r="R5" s="254"/>
      <c r="S5" s="254"/>
      <c r="T5" s="254"/>
      <c r="U5" s="254"/>
      <c r="V5" s="254"/>
      <c r="W5" s="254"/>
    </row>
    <row r="6" spans="1:45" ht="14.45" hidden="1" customHeight="1" x14ac:dyDescent="0.25">
      <c r="B6" s="74"/>
      <c r="C6" s="75"/>
      <c r="D6" s="13"/>
      <c r="E6" s="13"/>
      <c r="F6" s="13"/>
      <c r="G6" s="13"/>
      <c r="H6" s="15"/>
      <c r="I6" s="13"/>
      <c r="J6" s="13"/>
      <c r="K6" s="13"/>
      <c r="L6" s="13"/>
      <c r="M6" s="13"/>
      <c r="N6" s="13"/>
      <c r="O6" s="77"/>
      <c r="P6" s="76"/>
      <c r="Q6" s="13"/>
      <c r="R6" s="77"/>
      <c r="S6" s="13"/>
      <c r="T6" s="13"/>
      <c r="U6" s="13"/>
      <c r="V6" s="13"/>
      <c r="W6" s="13"/>
    </row>
    <row r="7" spans="1:45" ht="14.45" hidden="1" customHeight="1" x14ac:dyDescent="0.25">
      <c r="B7" s="62"/>
      <c r="C7" s="71"/>
      <c r="D7" s="39"/>
      <c r="E7" s="39"/>
      <c r="F7" s="39"/>
      <c r="G7" s="39"/>
      <c r="H7" s="39"/>
      <c r="I7" s="39"/>
      <c r="J7" s="39"/>
      <c r="K7" s="39"/>
      <c r="L7" s="39"/>
      <c r="M7" s="39"/>
      <c r="N7" s="39"/>
      <c r="O7" s="77"/>
      <c r="P7" s="76"/>
      <c r="Q7" s="39"/>
      <c r="R7" s="77"/>
      <c r="S7" s="39"/>
      <c r="T7" s="39"/>
      <c r="U7" s="39"/>
      <c r="V7" s="39"/>
      <c r="W7" s="39"/>
    </row>
    <row r="8" spans="1:45" ht="14.45" hidden="1" customHeight="1" x14ac:dyDescent="0.25">
      <c r="B8" s="62"/>
      <c r="C8" s="73"/>
      <c r="D8" s="39"/>
      <c r="E8" s="39"/>
      <c r="F8" s="39"/>
      <c r="G8" s="39"/>
      <c r="H8" s="39"/>
      <c r="I8" s="39"/>
      <c r="J8" s="72"/>
      <c r="K8" s="39"/>
      <c r="L8" s="39"/>
      <c r="M8" s="39"/>
      <c r="N8" s="26"/>
      <c r="O8" s="77"/>
      <c r="P8" s="100"/>
      <c r="Q8" s="100"/>
      <c r="R8" s="26"/>
      <c r="S8" s="100"/>
      <c r="T8" s="100"/>
      <c r="U8" s="44"/>
      <c r="V8" s="26"/>
      <c r="W8" s="26"/>
    </row>
    <row r="9" spans="1:45" ht="14.45" hidden="1" customHeight="1" x14ac:dyDescent="0.25">
      <c r="B9" s="154"/>
      <c r="C9" s="207"/>
      <c r="D9" s="44"/>
      <c r="E9" s="44"/>
      <c r="F9" s="44"/>
      <c r="G9" s="44"/>
      <c r="H9" s="44"/>
      <c r="I9" s="44"/>
      <c r="J9" s="39"/>
      <c r="K9" s="39"/>
      <c r="L9" s="39"/>
      <c r="M9" s="44"/>
      <c r="N9" s="201"/>
      <c r="O9" s="26"/>
      <c r="P9" s="101"/>
      <c r="Q9" s="102"/>
      <c r="R9" s="39"/>
      <c r="S9" s="78"/>
      <c r="T9" s="39"/>
      <c r="U9" s="39"/>
      <c r="V9" s="39"/>
      <c r="W9" s="44"/>
    </row>
    <row r="10" spans="1:45" ht="14.45" hidden="1" customHeight="1" x14ac:dyDescent="0.25">
      <c r="B10" s="212"/>
      <c r="C10" s="213"/>
      <c r="D10" s="44"/>
      <c r="E10" s="44"/>
      <c r="F10" s="44"/>
      <c r="G10" s="44"/>
      <c r="H10" s="44"/>
      <c r="I10" s="44"/>
      <c r="J10" s="39"/>
      <c r="K10" s="39"/>
      <c r="L10" s="39"/>
      <c r="M10" s="44"/>
      <c r="N10" s="201"/>
      <c r="O10" s="26"/>
      <c r="P10" s="101"/>
      <c r="Q10" s="26"/>
      <c r="R10" s="26"/>
      <c r="S10" s="26"/>
      <c r="T10" s="26"/>
      <c r="U10" s="26"/>
      <c r="V10" s="26"/>
      <c r="W10" s="192"/>
    </row>
    <row r="11" spans="1:45" ht="14.25" customHeight="1" x14ac:dyDescent="0.25">
      <c r="B11" s="182" t="s">
        <v>14</v>
      </c>
      <c r="D11" s="17"/>
      <c r="E11" s="17"/>
      <c r="F11" s="17"/>
      <c r="G11" s="17"/>
      <c r="H11" s="17"/>
      <c r="I11" s="17"/>
      <c r="J11" s="17"/>
      <c r="K11" s="17"/>
      <c r="L11" s="17"/>
      <c r="M11" s="17"/>
      <c r="N11" s="110"/>
      <c r="O11" s="206"/>
      <c r="P11" s="206"/>
      <c r="Q11" s="17"/>
      <c r="R11" s="14"/>
      <c r="S11" s="17"/>
      <c r="T11" s="17"/>
      <c r="U11" s="17"/>
      <c r="V11" s="13"/>
      <c r="W11" s="13"/>
    </row>
    <row r="12" spans="1:45" ht="15.75" x14ac:dyDescent="0.25">
      <c r="A12" s="232"/>
      <c r="B12" s="218" t="s">
        <v>58</v>
      </c>
      <c r="C12" s="219"/>
      <c r="D12" s="23" t="s">
        <v>69</v>
      </c>
      <c r="E12" s="23" t="s">
        <v>70</v>
      </c>
      <c r="F12" s="23" t="s">
        <v>71</v>
      </c>
      <c r="G12" s="23" t="s">
        <v>72</v>
      </c>
      <c r="H12" s="66" t="s">
        <v>72</v>
      </c>
      <c r="I12" s="23" t="s">
        <v>68</v>
      </c>
      <c r="J12" s="23" t="s">
        <v>67</v>
      </c>
      <c r="K12" s="23" t="s">
        <v>66</v>
      </c>
      <c r="L12" s="23" t="s">
        <v>65</v>
      </c>
      <c r="M12" s="66" t="s">
        <v>65</v>
      </c>
      <c r="N12" s="23" t="s">
        <v>73</v>
      </c>
      <c r="O12" s="23" t="s">
        <v>74</v>
      </c>
      <c r="P12" s="23" t="s">
        <v>75</v>
      </c>
      <c r="Q12" s="25" t="s">
        <v>76</v>
      </c>
      <c r="R12" s="68" t="s">
        <v>76</v>
      </c>
      <c r="S12" s="25" t="s">
        <v>77</v>
      </c>
      <c r="T12" s="25" t="s">
        <v>78</v>
      </c>
      <c r="U12" s="25" t="s">
        <v>79</v>
      </c>
      <c r="V12" s="25" t="s">
        <v>80</v>
      </c>
      <c r="W12" s="68" t="s">
        <v>80</v>
      </c>
    </row>
    <row r="13" spans="1:45" ht="17.45" customHeight="1" x14ac:dyDescent="0.4">
      <c r="A13" s="232"/>
      <c r="B13" s="228" t="s">
        <v>3</v>
      </c>
      <c r="C13" s="229"/>
      <c r="D13" s="24" t="s">
        <v>39</v>
      </c>
      <c r="E13" s="24" t="s">
        <v>40</v>
      </c>
      <c r="F13" s="24" t="s">
        <v>41</v>
      </c>
      <c r="G13" s="24" t="s">
        <v>42</v>
      </c>
      <c r="H13" s="67" t="s">
        <v>43</v>
      </c>
      <c r="I13" s="24" t="s">
        <v>44</v>
      </c>
      <c r="J13" s="24" t="s">
        <v>45</v>
      </c>
      <c r="K13" s="24" t="s">
        <v>46</v>
      </c>
      <c r="L13" s="24" t="s">
        <v>47</v>
      </c>
      <c r="M13" s="67" t="s">
        <v>48</v>
      </c>
      <c r="N13" s="24" t="s">
        <v>49</v>
      </c>
      <c r="O13" s="24" t="s">
        <v>125</v>
      </c>
      <c r="P13" s="24" t="s">
        <v>126</v>
      </c>
      <c r="Q13" s="22" t="s">
        <v>118</v>
      </c>
      <c r="R13" s="69" t="s">
        <v>119</v>
      </c>
      <c r="S13" s="22" t="s">
        <v>120</v>
      </c>
      <c r="T13" s="22" t="s">
        <v>121</v>
      </c>
      <c r="U13" s="22" t="s">
        <v>122</v>
      </c>
      <c r="V13" s="22" t="s">
        <v>123</v>
      </c>
      <c r="W13" s="69" t="s">
        <v>124</v>
      </c>
    </row>
    <row r="14" spans="1:45" x14ac:dyDescent="0.25">
      <c r="B14" s="216" t="s">
        <v>59</v>
      </c>
      <c r="C14" s="217"/>
      <c r="D14" s="26">
        <v>23887</v>
      </c>
      <c r="E14" s="26">
        <v>28108</v>
      </c>
      <c r="F14" s="26">
        <v>25026</v>
      </c>
      <c r="G14" s="26">
        <v>23883</v>
      </c>
      <c r="H14" s="27">
        <f>SUM(D14:G14)</f>
        <v>100904</v>
      </c>
      <c r="I14" s="26">
        <v>24947</v>
      </c>
      <c r="J14" s="26">
        <v>30463</v>
      </c>
      <c r="K14" s="26">
        <v>26302</v>
      </c>
      <c r="L14" s="26">
        <v>26491</v>
      </c>
      <c r="M14" s="27">
        <f>SUM(I14:L14)</f>
        <v>108203</v>
      </c>
      <c r="N14" s="183">
        <v>26381</v>
      </c>
      <c r="O14" s="183">
        <v>30839</v>
      </c>
      <c r="P14" s="183">
        <v>27223</v>
      </c>
      <c r="Q14" s="183">
        <f t="shared" ref="Q14" si="0">+Q42</f>
        <v>25758.434939403975</v>
      </c>
      <c r="R14" s="203">
        <f>SUM(N14:Q14)</f>
        <v>110201.43493940397</v>
      </c>
      <c r="S14" s="183">
        <f t="shared" ref="S14:V14" si="1">+S42</f>
        <v>27513.257467723579</v>
      </c>
      <c r="T14" s="183">
        <f t="shared" si="1"/>
        <v>32036.787942238097</v>
      </c>
      <c r="U14" s="183">
        <f t="shared" si="1"/>
        <v>28283.688427487912</v>
      </c>
      <c r="V14" s="183">
        <f t="shared" si="1"/>
        <v>26685.491095508085</v>
      </c>
      <c r="W14" s="203">
        <f>SUM(S14:V14)</f>
        <v>114519.22493295767</v>
      </c>
    </row>
    <row r="15" spans="1:45" ht="17.25" outlineLevel="1" x14ac:dyDescent="0.4">
      <c r="B15" s="235" t="s">
        <v>50</v>
      </c>
      <c r="C15" s="236"/>
      <c r="D15" s="30">
        <v>15733</v>
      </c>
      <c r="E15" s="30">
        <v>18647</v>
      </c>
      <c r="F15" s="30">
        <v>16378</v>
      </c>
      <c r="G15" s="30">
        <v>15790</v>
      </c>
      <c r="H15" s="31">
        <f>SUM(D15:G15)</f>
        <v>66548</v>
      </c>
      <c r="I15" s="30">
        <v>16330</v>
      </c>
      <c r="J15" s="30">
        <v>20098</v>
      </c>
      <c r="K15" s="30">
        <v>17151</v>
      </c>
      <c r="L15" s="30">
        <v>17464</v>
      </c>
      <c r="M15" s="31">
        <f>SUM(I15:L15)</f>
        <v>71043</v>
      </c>
      <c r="N15" s="184">
        <v>17364</v>
      </c>
      <c r="O15" s="184">
        <v>20407</v>
      </c>
      <c r="P15" s="184">
        <v>17836</v>
      </c>
      <c r="Q15" s="30">
        <f>(1-Q55)*Q14</f>
        <v>17515.735758794701</v>
      </c>
      <c r="R15" s="31">
        <f>SUM(N15:Q15)</f>
        <v>73122.735758794704</v>
      </c>
      <c r="S15" s="30">
        <f>(1-S55)*S14</f>
        <v>18158.749928697558</v>
      </c>
      <c r="T15" s="30">
        <f>(1-T55)*T14</f>
        <v>21272.427193646094</v>
      </c>
      <c r="U15" s="30">
        <f>(1-U55)*U14</f>
        <v>18565.413083803065</v>
      </c>
      <c r="V15" s="30">
        <f>(1-V55)*V14</f>
        <v>18146.133944945497</v>
      </c>
      <c r="W15" s="31">
        <f>SUM(S15:V15)</f>
        <v>76142.724151092218</v>
      </c>
    </row>
    <row r="16" spans="1:45" s="20" customFormat="1" outlineLevel="1" x14ac:dyDescent="0.25">
      <c r="B16" s="60" t="s">
        <v>38</v>
      </c>
      <c r="C16" s="63"/>
      <c r="D16" s="34">
        <f t="shared" ref="D16:K16" si="2">+D14-D15</f>
        <v>8154</v>
      </c>
      <c r="E16" s="34">
        <f t="shared" si="2"/>
        <v>9461</v>
      </c>
      <c r="F16" s="34">
        <f t="shared" si="2"/>
        <v>8648</v>
      </c>
      <c r="G16" s="34">
        <f t="shared" si="2"/>
        <v>8093</v>
      </c>
      <c r="H16" s="35">
        <f t="shared" si="2"/>
        <v>34356</v>
      </c>
      <c r="I16" s="34">
        <f t="shared" si="2"/>
        <v>8617</v>
      </c>
      <c r="J16" s="34">
        <f t="shared" si="2"/>
        <v>10365</v>
      </c>
      <c r="K16" s="34">
        <f t="shared" si="2"/>
        <v>9151</v>
      </c>
      <c r="L16" s="34">
        <f>+L14-L15</f>
        <v>9027</v>
      </c>
      <c r="M16" s="35">
        <f t="shared" ref="M16:W16" si="3">+M14-M15</f>
        <v>37160</v>
      </c>
      <c r="N16" s="185">
        <f>+N14-N15</f>
        <v>9017</v>
      </c>
      <c r="O16" s="185">
        <f t="shared" si="3"/>
        <v>10432</v>
      </c>
      <c r="P16" s="185">
        <f t="shared" si="3"/>
        <v>9387</v>
      </c>
      <c r="Q16" s="34">
        <f t="shared" si="3"/>
        <v>8242.6991806092738</v>
      </c>
      <c r="R16" s="35">
        <f t="shared" si="3"/>
        <v>37078.69918060927</v>
      </c>
      <c r="S16" s="34">
        <f t="shared" si="3"/>
        <v>9354.5075390260208</v>
      </c>
      <c r="T16" s="34">
        <f t="shared" si="3"/>
        <v>10764.360748592004</v>
      </c>
      <c r="U16" s="34">
        <f t="shared" si="3"/>
        <v>9718.275343684847</v>
      </c>
      <c r="V16" s="34">
        <f t="shared" si="3"/>
        <v>8539.3571505625878</v>
      </c>
      <c r="W16" s="35">
        <f t="shared" si="3"/>
        <v>38376.500781865456</v>
      </c>
    </row>
    <row r="17" spans="1:23" ht="17.25" customHeight="1" outlineLevel="1" x14ac:dyDescent="0.25">
      <c r="B17" s="118" t="s">
        <v>60</v>
      </c>
      <c r="C17" s="28"/>
      <c r="D17" s="26">
        <v>4361</v>
      </c>
      <c r="E17" s="26">
        <v>4549</v>
      </c>
      <c r="F17" s="26">
        <v>4514</v>
      </c>
      <c r="G17" s="26">
        <v>4440</v>
      </c>
      <c r="H17" s="27">
        <f>SUM(D17:G17)</f>
        <v>17864</v>
      </c>
      <c r="I17" s="26">
        <v>4779</v>
      </c>
      <c r="J17" s="26">
        <v>5004</v>
      </c>
      <c r="K17" s="26">
        <v>4808</v>
      </c>
      <c r="L17" s="26">
        <v>4922</v>
      </c>
      <c r="M17" s="27">
        <f>SUM(I17:L17)</f>
        <v>19513</v>
      </c>
      <c r="N17" s="183">
        <v>4940</v>
      </c>
      <c r="O17" s="183">
        <v>5044</v>
      </c>
      <c r="P17" s="183">
        <v>4942</v>
      </c>
      <c r="Q17" s="26">
        <f>Q14*Q56</f>
        <v>4610.7598541533116</v>
      </c>
      <c r="R17" s="27">
        <f>SUM(N17:Q17)</f>
        <v>19536.759854153312</v>
      </c>
      <c r="S17" s="26">
        <f>S14*S56</f>
        <v>5073.0709037389688</v>
      </c>
      <c r="T17" s="26">
        <f>T14*T56</f>
        <v>5148.3254664992191</v>
      </c>
      <c r="U17" s="26">
        <f>U14*U56</f>
        <v>5034.4965400928477</v>
      </c>
      <c r="V17" s="26">
        <f>V14*V56</f>
        <v>4856.7593793824717</v>
      </c>
      <c r="W17" s="27">
        <f>SUM(S17:V17)</f>
        <v>20112.652289713507</v>
      </c>
    </row>
    <row r="18" spans="1:23" outlineLevel="1" x14ac:dyDescent="0.25">
      <c r="B18" s="118" t="s">
        <v>51</v>
      </c>
      <c r="C18" s="28"/>
      <c r="D18" s="26">
        <v>444</v>
      </c>
      <c r="E18" s="26">
        <v>449</v>
      </c>
      <c r="F18" s="26">
        <v>454</v>
      </c>
      <c r="G18" s="26">
        <v>464</v>
      </c>
      <c r="H18" s="27">
        <f t="shared" ref="H18" si="4">SUM(D18:G18)</f>
        <v>1811</v>
      </c>
      <c r="I18" s="26">
        <v>457</v>
      </c>
      <c r="J18" s="26">
        <v>460</v>
      </c>
      <c r="K18" s="26">
        <v>473</v>
      </c>
      <c r="L18" s="26">
        <v>480</v>
      </c>
      <c r="M18" s="27">
        <f t="shared" ref="M18" si="5">SUM(I18:L18)</f>
        <v>1870</v>
      </c>
      <c r="N18" s="183">
        <v>480</v>
      </c>
      <c r="O18" s="183">
        <v>492</v>
      </c>
      <c r="P18" s="183">
        <v>498</v>
      </c>
      <c r="Q18" s="49">
        <v>595.12552665017051</v>
      </c>
      <c r="R18" s="203">
        <f t="shared" ref="R18" si="6">SUM(N18:Q18)</f>
        <v>2065.1255266501703</v>
      </c>
      <c r="S18" s="49">
        <v>581.61661609880105</v>
      </c>
      <c r="T18" s="49">
        <v>594.43853387101524</v>
      </c>
      <c r="U18" s="49">
        <v>608.87062501134471</v>
      </c>
      <c r="V18" s="49">
        <v>605.6706394636094</v>
      </c>
      <c r="W18" s="27">
        <f t="shared" ref="W18" si="7">SUM(S18:V18)</f>
        <v>2390.5964144447703</v>
      </c>
    </row>
    <row r="19" spans="1:23" ht="17.25" customHeight="1" outlineLevel="1" x14ac:dyDescent="0.4">
      <c r="B19" s="118" t="s">
        <v>61</v>
      </c>
      <c r="C19" s="28"/>
      <c r="D19" s="30">
        <v>0</v>
      </c>
      <c r="E19" s="30">
        <v>0</v>
      </c>
      <c r="F19" s="30">
        <v>0</v>
      </c>
      <c r="G19" s="30">
        <v>0</v>
      </c>
      <c r="H19" s="31">
        <f t="shared" ref="H19" si="8">SUM(D19:G19)</f>
        <v>0</v>
      </c>
      <c r="I19" s="30">
        <v>0</v>
      </c>
      <c r="J19" s="30">
        <v>0</v>
      </c>
      <c r="K19" s="30">
        <v>0</v>
      </c>
      <c r="L19" s="30">
        <v>247</v>
      </c>
      <c r="M19" s="31">
        <f t="shared" ref="M19" si="9">SUM(I19:L19)</f>
        <v>247</v>
      </c>
      <c r="N19" s="184">
        <v>0</v>
      </c>
      <c r="O19" s="184">
        <v>0</v>
      </c>
      <c r="P19" s="184">
        <v>0</v>
      </c>
      <c r="Q19" s="48">
        <v>0</v>
      </c>
      <c r="R19" s="31">
        <f t="shared" ref="R19" si="10">SUM(N19:Q19)</f>
        <v>0</v>
      </c>
      <c r="S19" s="48">
        <v>0</v>
      </c>
      <c r="T19" s="48">
        <v>0</v>
      </c>
      <c r="U19" s="48">
        <v>0</v>
      </c>
      <c r="V19" s="48">
        <v>0</v>
      </c>
      <c r="W19" s="31">
        <f t="shared" ref="W19" si="11">SUM(S19:V19)</f>
        <v>0</v>
      </c>
    </row>
    <row r="20" spans="1:23" s="33" customFormat="1" ht="17.25" customHeight="1" x14ac:dyDescent="0.4">
      <c r="B20" s="119" t="s">
        <v>10</v>
      </c>
      <c r="C20" s="32"/>
      <c r="D20" s="148">
        <f t="shared" ref="D20:K20" si="12">SUM(D17:D19)</f>
        <v>4805</v>
      </c>
      <c r="E20" s="148">
        <f t="shared" si="12"/>
        <v>4998</v>
      </c>
      <c r="F20" s="148">
        <f t="shared" si="12"/>
        <v>4968</v>
      </c>
      <c r="G20" s="148">
        <f t="shared" si="12"/>
        <v>4904</v>
      </c>
      <c r="H20" s="149">
        <f t="shared" si="12"/>
        <v>19675</v>
      </c>
      <c r="I20" s="148">
        <f t="shared" si="12"/>
        <v>5236</v>
      </c>
      <c r="J20" s="148">
        <f t="shared" si="12"/>
        <v>5464</v>
      </c>
      <c r="K20" s="148">
        <f t="shared" si="12"/>
        <v>5281</v>
      </c>
      <c r="L20" s="148">
        <f>SUM(L17:L19)</f>
        <v>5649</v>
      </c>
      <c r="M20" s="149">
        <f t="shared" ref="M20:W20" si="13">SUM(M17:M19)</f>
        <v>21630</v>
      </c>
      <c r="N20" s="186">
        <f>SUM(N17:N19)</f>
        <v>5420</v>
      </c>
      <c r="O20" s="186">
        <f t="shared" si="13"/>
        <v>5536</v>
      </c>
      <c r="P20" s="186">
        <f t="shared" si="13"/>
        <v>5440</v>
      </c>
      <c r="Q20" s="148">
        <f t="shared" si="13"/>
        <v>5205.8853808034819</v>
      </c>
      <c r="R20" s="149">
        <f t="shared" si="13"/>
        <v>21601.885380803484</v>
      </c>
      <c r="S20" s="148">
        <f t="shared" si="13"/>
        <v>5654.6875198377702</v>
      </c>
      <c r="T20" s="148">
        <f t="shared" si="13"/>
        <v>5742.7640003702345</v>
      </c>
      <c r="U20" s="148">
        <f t="shared" si="13"/>
        <v>5643.3671651041923</v>
      </c>
      <c r="V20" s="148">
        <f t="shared" si="13"/>
        <v>5462.4300188460811</v>
      </c>
      <c r="W20" s="149">
        <f t="shared" si="13"/>
        <v>22503.248704158279</v>
      </c>
    </row>
    <row r="21" spans="1:23" x14ac:dyDescent="0.25">
      <c r="B21" s="62" t="s">
        <v>17</v>
      </c>
      <c r="C21" s="29"/>
      <c r="D21" s="34">
        <f t="shared" ref="D21:K21" si="14">D16-D20</f>
        <v>3349</v>
      </c>
      <c r="E21" s="34">
        <f t="shared" si="14"/>
        <v>4463</v>
      </c>
      <c r="F21" s="34">
        <f t="shared" si="14"/>
        <v>3680</v>
      </c>
      <c r="G21" s="34">
        <f t="shared" si="14"/>
        <v>3189</v>
      </c>
      <c r="H21" s="35">
        <f t="shared" si="14"/>
        <v>14681</v>
      </c>
      <c r="I21" s="34">
        <f t="shared" si="14"/>
        <v>3381</v>
      </c>
      <c r="J21" s="34">
        <f t="shared" si="14"/>
        <v>4901</v>
      </c>
      <c r="K21" s="34">
        <f t="shared" si="14"/>
        <v>3870</v>
      </c>
      <c r="L21" s="34">
        <f>L16-L20</f>
        <v>3378</v>
      </c>
      <c r="M21" s="35">
        <f t="shared" ref="M21:W21" si="15">M16-M20</f>
        <v>15530</v>
      </c>
      <c r="N21" s="185">
        <f>N16-N20</f>
        <v>3597</v>
      </c>
      <c r="O21" s="185">
        <f t="shared" si="15"/>
        <v>4896</v>
      </c>
      <c r="P21" s="185">
        <f t="shared" si="15"/>
        <v>3947</v>
      </c>
      <c r="Q21" s="34">
        <f t="shared" si="15"/>
        <v>3036.8137998057919</v>
      </c>
      <c r="R21" s="35">
        <f t="shared" si="15"/>
        <v>15476.813799805786</v>
      </c>
      <c r="S21" s="34">
        <f t="shared" si="15"/>
        <v>3699.8200191882506</v>
      </c>
      <c r="T21" s="34">
        <f t="shared" si="15"/>
        <v>5021.5967482217693</v>
      </c>
      <c r="U21" s="34">
        <f t="shared" si="15"/>
        <v>4074.9081785806547</v>
      </c>
      <c r="V21" s="34">
        <f t="shared" si="15"/>
        <v>3076.9271317165067</v>
      </c>
      <c r="W21" s="35">
        <f t="shared" si="15"/>
        <v>15873.252077707177</v>
      </c>
    </row>
    <row r="22" spans="1:23" x14ac:dyDescent="0.25">
      <c r="B22" s="64" t="s">
        <v>62</v>
      </c>
      <c r="C22" s="28"/>
      <c r="D22" s="26">
        <v>-13</v>
      </c>
      <c r="E22" s="26">
        <v>-16</v>
      </c>
      <c r="F22" s="26">
        <v>-22</v>
      </c>
      <c r="G22" s="26">
        <v>-23</v>
      </c>
      <c r="H22" s="27">
        <f t="shared" ref="H22" si="16">SUM(D22:G22)</f>
        <v>-74</v>
      </c>
      <c r="I22" s="26">
        <v>-22</v>
      </c>
      <c r="J22" s="26">
        <v>-26</v>
      </c>
      <c r="K22" s="26">
        <v>-25</v>
      </c>
      <c r="L22" s="26">
        <v>-20</v>
      </c>
      <c r="M22" s="27">
        <f t="shared" ref="M22" si="17">SUM(I22:L22)</f>
        <v>-93</v>
      </c>
      <c r="N22" s="183">
        <v>-15</v>
      </c>
      <c r="O22" s="183">
        <v>-19</v>
      </c>
      <c r="P22" s="183">
        <v>-22</v>
      </c>
      <c r="Q22" s="49">
        <v>-21.931000000000004</v>
      </c>
      <c r="R22" s="27">
        <f t="shared" ref="R22" si="18">SUM(N22:Q22)</f>
        <v>-77.931000000000012</v>
      </c>
      <c r="S22" s="49">
        <v>-11.260064608549667</v>
      </c>
      <c r="T22" s="49">
        <v>-25.885888413613547</v>
      </c>
      <c r="U22" s="49">
        <v>-25.296040702229387</v>
      </c>
      <c r="V22" s="49">
        <v>-21.402681512069677</v>
      </c>
      <c r="W22" s="27">
        <f t="shared" ref="W22" si="19">SUM(S22:V22)</f>
        <v>-83.84467523646228</v>
      </c>
    </row>
    <row r="23" spans="1:23" x14ac:dyDescent="0.25">
      <c r="B23" s="64" t="s">
        <v>52</v>
      </c>
      <c r="C23" s="57"/>
      <c r="D23" s="26">
        <v>254</v>
      </c>
      <c r="E23" s="26">
        <v>265</v>
      </c>
      <c r="F23" s="26">
        <v>269</v>
      </c>
      <c r="G23" s="26">
        <v>269</v>
      </c>
      <c r="H23" s="27">
        <f t="shared" ref="H23" si="20">SUM(D23:G23)</f>
        <v>1057</v>
      </c>
      <c r="I23" s="26">
        <v>261</v>
      </c>
      <c r="J23" s="26">
        <v>272</v>
      </c>
      <c r="K23" s="26">
        <v>249</v>
      </c>
      <c r="L23" s="26">
        <v>269</v>
      </c>
      <c r="M23" s="27">
        <f t="shared" ref="M23:M24" si="21">SUM(I23:L23)</f>
        <v>1051</v>
      </c>
      <c r="N23" s="183">
        <v>288</v>
      </c>
      <c r="O23" s="183">
        <v>302</v>
      </c>
      <c r="P23" s="183">
        <v>302</v>
      </c>
      <c r="Q23" s="49">
        <v>305.84007375323978</v>
      </c>
      <c r="R23" s="27">
        <f t="shared" ref="R23" si="22">SUM(N23:Q23)</f>
        <v>1197.8400737532397</v>
      </c>
      <c r="S23" s="49">
        <v>305.84007375323972</v>
      </c>
      <c r="T23" s="49">
        <v>305.38131364260988</v>
      </c>
      <c r="U23" s="49">
        <v>305.38131364260988</v>
      </c>
      <c r="V23" s="49">
        <v>304.92324167214593</v>
      </c>
      <c r="W23" s="27">
        <f t="shared" ref="W23" si="23">SUM(S23:V23)</f>
        <v>1221.5259427106055</v>
      </c>
    </row>
    <row r="24" spans="1:23" ht="17.25" x14ac:dyDescent="0.4">
      <c r="B24" s="64" t="s">
        <v>63</v>
      </c>
      <c r="C24" s="57"/>
      <c r="D24" s="30">
        <v>0</v>
      </c>
      <c r="E24" s="30">
        <v>0</v>
      </c>
      <c r="F24" s="30">
        <v>0</v>
      </c>
      <c r="G24" s="30">
        <v>0</v>
      </c>
      <c r="H24" s="31">
        <f t="shared" ref="H24" si="24">SUM(D24:G24)</f>
        <v>0</v>
      </c>
      <c r="I24" s="30">
        <v>0</v>
      </c>
      <c r="J24" s="30">
        <v>0</v>
      </c>
      <c r="K24" s="30">
        <v>0</v>
      </c>
      <c r="L24" s="30">
        <v>16</v>
      </c>
      <c r="M24" s="31">
        <f t="shared" si="21"/>
        <v>16</v>
      </c>
      <c r="N24" s="184">
        <v>0</v>
      </c>
      <c r="O24" s="184">
        <v>0</v>
      </c>
      <c r="P24" s="184">
        <v>0</v>
      </c>
      <c r="Q24" s="48">
        <v>0</v>
      </c>
      <c r="R24" s="31">
        <f t="shared" ref="R24" si="25">SUM(N24:Q24)</f>
        <v>0</v>
      </c>
      <c r="S24" s="48">
        <v>0</v>
      </c>
      <c r="T24" s="48">
        <v>0</v>
      </c>
      <c r="U24" s="48">
        <v>0</v>
      </c>
      <c r="V24" s="48">
        <v>0</v>
      </c>
      <c r="W24" s="31">
        <f t="shared" ref="W24" si="26">SUM(S24:V24)</f>
        <v>0</v>
      </c>
    </row>
    <row r="25" spans="1:23" ht="17.25" x14ac:dyDescent="0.4">
      <c r="B25" s="224" t="s">
        <v>96</v>
      </c>
      <c r="C25" s="225"/>
      <c r="D25" s="148">
        <f>SUM(D22:D24)</f>
        <v>241</v>
      </c>
      <c r="E25" s="148">
        <f t="shared" ref="E25:W25" si="27">SUM(E22:E24)</f>
        <v>249</v>
      </c>
      <c r="F25" s="148">
        <f t="shared" si="27"/>
        <v>247</v>
      </c>
      <c r="G25" s="148">
        <f>SUM(G22:G24)</f>
        <v>246</v>
      </c>
      <c r="H25" s="149">
        <f t="shared" si="27"/>
        <v>983</v>
      </c>
      <c r="I25" s="148">
        <f t="shared" si="27"/>
        <v>239</v>
      </c>
      <c r="J25" s="148">
        <f t="shared" si="27"/>
        <v>246</v>
      </c>
      <c r="K25" s="148">
        <f t="shared" si="27"/>
        <v>224</v>
      </c>
      <c r="L25" s="148">
        <f>SUM(L22:L24)</f>
        <v>265</v>
      </c>
      <c r="M25" s="149">
        <f t="shared" si="27"/>
        <v>974</v>
      </c>
      <c r="N25" s="186">
        <f t="shared" si="27"/>
        <v>273</v>
      </c>
      <c r="O25" s="186">
        <f>SUM(O22:O24)</f>
        <v>283</v>
      </c>
      <c r="P25" s="186">
        <f t="shared" si="27"/>
        <v>280</v>
      </c>
      <c r="Q25" s="148">
        <f t="shared" si="27"/>
        <v>283.9090737532398</v>
      </c>
      <c r="R25" s="204">
        <f t="shared" si="27"/>
        <v>1119.9090737532397</v>
      </c>
      <c r="S25" s="148">
        <f t="shared" si="27"/>
        <v>294.58000914469005</v>
      </c>
      <c r="T25" s="148">
        <f t="shared" si="27"/>
        <v>279.49542522899634</v>
      </c>
      <c r="U25" s="148">
        <f t="shared" si="27"/>
        <v>280.08527294038049</v>
      </c>
      <c r="V25" s="148">
        <f t="shared" si="27"/>
        <v>283.52056016007623</v>
      </c>
      <c r="W25" s="149">
        <f t="shared" si="27"/>
        <v>1137.6812674741432</v>
      </c>
    </row>
    <row r="26" spans="1:23" x14ac:dyDescent="0.25">
      <c r="B26" s="233" t="s">
        <v>18</v>
      </c>
      <c r="C26" s="234"/>
      <c r="D26" s="34">
        <f>D21-D25</f>
        <v>3108</v>
      </c>
      <c r="E26" s="34">
        <f t="shared" ref="E26:W26" si="28">E21-E25</f>
        <v>4214</v>
      </c>
      <c r="F26" s="34">
        <f t="shared" si="28"/>
        <v>3433</v>
      </c>
      <c r="G26" s="34">
        <f>G21-G25</f>
        <v>2943</v>
      </c>
      <c r="H26" s="35">
        <f t="shared" si="28"/>
        <v>13698</v>
      </c>
      <c r="I26" s="34">
        <f t="shared" si="28"/>
        <v>3142</v>
      </c>
      <c r="J26" s="34">
        <f t="shared" si="28"/>
        <v>4655</v>
      </c>
      <c r="K26" s="34">
        <f t="shared" si="28"/>
        <v>3646</v>
      </c>
      <c r="L26" s="34">
        <f>L21-L25</f>
        <v>3113</v>
      </c>
      <c r="M26" s="35">
        <f t="shared" si="28"/>
        <v>14556</v>
      </c>
      <c r="N26" s="185">
        <f>N21-N25</f>
        <v>3324</v>
      </c>
      <c r="O26" s="185">
        <f t="shared" si="28"/>
        <v>4613</v>
      </c>
      <c r="P26" s="185">
        <f t="shared" si="28"/>
        <v>3667</v>
      </c>
      <c r="Q26" s="34">
        <f t="shared" si="28"/>
        <v>2752.9047260525522</v>
      </c>
      <c r="R26" s="35">
        <f t="shared" si="28"/>
        <v>14356.904726052548</v>
      </c>
      <c r="S26" s="34">
        <f t="shared" si="28"/>
        <v>3405.2400100435607</v>
      </c>
      <c r="T26" s="34">
        <f t="shared" si="28"/>
        <v>4742.101322992773</v>
      </c>
      <c r="U26" s="34">
        <f t="shared" si="28"/>
        <v>3794.8229056402743</v>
      </c>
      <c r="V26" s="34">
        <f t="shared" si="28"/>
        <v>2793.4065715564302</v>
      </c>
      <c r="W26" s="35">
        <f t="shared" si="28"/>
        <v>14735.570810233034</v>
      </c>
    </row>
    <row r="27" spans="1:23" ht="17.25" x14ac:dyDescent="0.4">
      <c r="B27" s="216" t="s">
        <v>7</v>
      </c>
      <c r="C27" s="217"/>
      <c r="D27" s="30">
        <v>1094</v>
      </c>
      <c r="E27" s="30">
        <v>1542</v>
      </c>
      <c r="F27" s="30">
        <v>1268</v>
      </c>
      <c r="G27" s="30">
        <v>1164</v>
      </c>
      <c r="H27" s="31">
        <f>SUM(D27:G27)</f>
        <v>5068</v>
      </c>
      <c r="I27" s="30">
        <v>738</v>
      </c>
      <c r="J27" s="30">
        <v>1149</v>
      </c>
      <c r="K27" s="30">
        <v>779</v>
      </c>
      <c r="L27" s="30">
        <v>769</v>
      </c>
      <c r="M27" s="31">
        <f>SUM(I27:L27)</f>
        <v>3435</v>
      </c>
      <c r="N27" s="184">
        <v>811</v>
      </c>
      <c r="O27" s="184">
        <v>1134</v>
      </c>
      <c r="P27" s="184">
        <v>898</v>
      </c>
      <c r="Q27" s="30">
        <f>Q26*Q58</f>
        <v>701.99070514340087</v>
      </c>
      <c r="R27" s="31">
        <f>SUM(N27:Q27)</f>
        <v>3544.9907051434011</v>
      </c>
      <c r="S27" s="30">
        <f>S26*S58</f>
        <v>851.31000251089017</v>
      </c>
      <c r="T27" s="30">
        <f>T26*T58</f>
        <v>1185.5253307481933</v>
      </c>
      <c r="U27" s="30">
        <f>U26*U58</f>
        <v>948.70572641006856</v>
      </c>
      <c r="V27" s="30">
        <f>V26*V58</f>
        <v>698.35164288910755</v>
      </c>
      <c r="W27" s="31">
        <f>SUM(S27:V27)</f>
        <v>3683.8927025582593</v>
      </c>
    </row>
    <row r="28" spans="1:23" x14ac:dyDescent="0.25">
      <c r="A28" s="36"/>
      <c r="B28" s="224" t="s">
        <v>64</v>
      </c>
      <c r="C28" s="225"/>
      <c r="D28" s="34">
        <f t="shared" ref="D28:W28" si="29">+D26-D27</f>
        <v>2014</v>
      </c>
      <c r="E28" s="34">
        <f t="shared" si="29"/>
        <v>2672</v>
      </c>
      <c r="F28" s="34">
        <f t="shared" si="29"/>
        <v>2165</v>
      </c>
      <c r="G28" s="34">
        <f t="shared" si="29"/>
        <v>1779</v>
      </c>
      <c r="H28" s="35">
        <f t="shared" si="29"/>
        <v>8630</v>
      </c>
      <c r="I28" s="34">
        <f t="shared" si="29"/>
        <v>2404</v>
      </c>
      <c r="J28" s="34">
        <f t="shared" si="29"/>
        <v>3506</v>
      </c>
      <c r="K28" s="34">
        <f>+K26-K27</f>
        <v>2867</v>
      </c>
      <c r="L28" s="34">
        <f>+L26-L27</f>
        <v>2344</v>
      </c>
      <c r="M28" s="35">
        <f t="shared" si="29"/>
        <v>11121</v>
      </c>
      <c r="N28" s="185">
        <f>+N26-N27</f>
        <v>2513</v>
      </c>
      <c r="O28" s="185">
        <f t="shared" si="29"/>
        <v>3479</v>
      </c>
      <c r="P28" s="185">
        <f t="shared" si="29"/>
        <v>2769</v>
      </c>
      <c r="Q28" s="34">
        <f t="shared" si="29"/>
        <v>2050.9140209091511</v>
      </c>
      <c r="R28" s="35">
        <f t="shared" si="29"/>
        <v>10811.914020909146</v>
      </c>
      <c r="S28" s="34">
        <f t="shared" si="29"/>
        <v>2553.9300075326705</v>
      </c>
      <c r="T28" s="34">
        <f t="shared" si="29"/>
        <v>3556.5759922445795</v>
      </c>
      <c r="U28" s="34">
        <f t="shared" si="29"/>
        <v>2846.1171792302057</v>
      </c>
      <c r="V28" s="34">
        <f t="shared" si="29"/>
        <v>2095.0549286673227</v>
      </c>
      <c r="W28" s="35">
        <f t="shared" si="29"/>
        <v>11051.678107674774</v>
      </c>
    </row>
    <row r="29" spans="1:23" x14ac:dyDescent="0.25">
      <c r="B29" s="216" t="s">
        <v>0</v>
      </c>
      <c r="C29" s="217"/>
      <c r="D29" s="26">
        <v>1198</v>
      </c>
      <c r="E29" s="26">
        <v>1183</v>
      </c>
      <c r="F29" s="26">
        <v>1168</v>
      </c>
      <c r="G29" s="26">
        <v>1160</v>
      </c>
      <c r="H29" s="27">
        <f>+(D28/H28*D29)+(E28/H28*E29)+(F28/H28*F29)+(G28/H28*G29)</f>
        <v>1177.9962920046351</v>
      </c>
      <c r="I29" s="26">
        <v>1152</v>
      </c>
      <c r="J29" s="26">
        <v>1144</v>
      </c>
      <c r="K29" s="26">
        <v>1135</v>
      </c>
      <c r="L29" s="26">
        <v>1116</v>
      </c>
      <c r="M29" s="27">
        <f>+(I28/M28*I29)+(J28/M28*J29)+(K28/M28*K29)+(L28/M28*L29)</f>
        <v>1137.5075083175975</v>
      </c>
      <c r="N29" s="183">
        <v>1101</v>
      </c>
      <c r="O29" s="183">
        <v>1095</v>
      </c>
      <c r="P29" s="183">
        <v>1089</v>
      </c>
      <c r="Q29" s="26">
        <f>P29*(1+Q62)-Q66</f>
        <v>1083.1341412002821</v>
      </c>
      <c r="R29" s="27">
        <f>+(N28/R28*N29)+(O28/R28*O29)+(P28/R28*P29)+(Q28/R28*Q29)</f>
        <v>1092.6070974914867</v>
      </c>
      <c r="S29" s="26">
        <f>Q29*(1+S62)-S66</f>
        <v>1078.6738128349368</v>
      </c>
      <c r="T29" s="26">
        <f>S29*(1+T62)-T66</f>
        <v>1075.5969965355787</v>
      </c>
      <c r="U29" s="26">
        <f>T29*(1+U62)-U66</f>
        <v>1072.276809189791</v>
      </c>
      <c r="V29" s="26">
        <f>U29*(1+V62)-V66</f>
        <v>1068.8919808174267</v>
      </c>
      <c r="W29" s="27">
        <f>+(S28/W28*S29)+(T28/W28*T29)+(U28/W28*U29)+(V28/W28*V29)</f>
        <v>1074.1819132474802</v>
      </c>
    </row>
    <row r="30" spans="1:23" ht="15.75" customHeight="1" x14ac:dyDescent="0.25">
      <c r="B30" s="216" t="s">
        <v>1</v>
      </c>
      <c r="C30" s="217"/>
      <c r="D30" s="26">
        <v>1204</v>
      </c>
      <c r="E30" s="26">
        <v>1189</v>
      </c>
      <c r="F30" s="26">
        <v>1174</v>
      </c>
      <c r="G30" s="26">
        <v>1167</v>
      </c>
      <c r="H30" s="27">
        <f>+(D28/H28*D30)+(E28/H28*E30)+(F28/H28*F30)+(G28/H28*G30)</f>
        <v>1184.2024333719583</v>
      </c>
      <c r="I30" s="26">
        <v>1158</v>
      </c>
      <c r="J30" s="26">
        <v>1149</v>
      </c>
      <c r="K30" s="26">
        <v>1141</v>
      </c>
      <c r="L30" s="26">
        <v>1121</v>
      </c>
      <c r="M30" s="27">
        <f>+(I28/M28*I30)+(J28/M28*J30)+(K28/M28*K30)+(L28/M28*L30)</f>
        <v>1142.9814764859275</v>
      </c>
      <c r="N30" s="183">
        <v>1106</v>
      </c>
      <c r="O30" s="183">
        <v>1099</v>
      </c>
      <c r="P30" s="183">
        <v>1094</v>
      </c>
      <c r="Q30" s="26">
        <f>P30*(1+Q63)-Q66</f>
        <v>1087.8944818708765</v>
      </c>
      <c r="R30" s="27">
        <f>+(N28/R28*N30)+(O28/R28*O30)+(P28/R28*P30)+(Q28/R28*Q30)</f>
        <v>1097.2398618039629</v>
      </c>
      <c r="S30" s="26">
        <f>Q30*(1+S63)-S66</f>
        <v>1083.3761718619853</v>
      </c>
      <c r="T30" s="26">
        <f>S30*(1+T63)-T66</f>
        <v>1080.2270453781384</v>
      </c>
      <c r="U30" s="26">
        <f>T30*(1+U63)-U66</f>
        <v>1077.0609728729094</v>
      </c>
      <c r="V30" s="26">
        <f>U30*(1+V63)-V66</f>
        <v>1073.6231657318156</v>
      </c>
      <c r="W30" s="27">
        <f>+(S28/W28*S30)+(T28/W28*T30)+(U28/W28*U30)+(V28/W28*V30)</f>
        <v>1078.8875333890699</v>
      </c>
    </row>
    <row r="31" spans="1:23" ht="15.75" customHeight="1" x14ac:dyDescent="0.25">
      <c r="B31" s="230" t="s">
        <v>8</v>
      </c>
      <c r="C31" s="231"/>
      <c r="D31" s="37">
        <f t="shared" ref="D31:W31" si="30">D28/D29</f>
        <v>1.681135225375626</v>
      </c>
      <c r="E31" s="37">
        <f t="shared" si="30"/>
        <v>2.2586644125105662</v>
      </c>
      <c r="F31" s="37">
        <f t="shared" si="30"/>
        <v>1.8535958904109588</v>
      </c>
      <c r="G31" s="37">
        <f t="shared" si="30"/>
        <v>1.5336206896551725</v>
      </c>
      <c r="H31" s="38">
        <f t="shared" si="30"/>
        <v>7.3259992909774319</v>
      </c>
      <c r="I31" s="37">
        <f t="shared" si="30"/>
        <v>2.0868055555555554</v>
      </c>
      <c r="J31" s="37">
        <f t="shared" si="30"/>
        <v>3.0646853146853146</v>
      </c>
      <c r="K31" s="37">
        <f t="shared" si="30"/>
        <v>2.5259911894273128</v>
      </c>
      <c r="L31" s="37">
        <f t="shared" si="30"/>
        <v>2.1003584229390682</v>
      </c>
      <c r="M31" s="38">
        <f t="shared" si="30"/>
        <v>9.7766387638603298</v>
      </c>
      <c r="N31" s="187">
        <f t="shared" si="30"/>
        <v>2.282470481380563</v>
      </c>
      <c r="O31" s="187">
        <f t="shared" si="30"/>
        <v>3.1771689497716893</v>
      </c>
      <c r="P31" s="187">
        <f t="shared" si="30"/>
        <v>2.5426997245179064</v>
      </c>
      <c r="Q31" s="37">
        <f t="shared" si="30"/>
        <v>1.8934995610390579</v>
      </c>
      <c r="R31" s="38">
        <f t="shared" si="30"/>
        <v>9.8955187511889555</v>
      </c>
      <c r="S31" s="37">
        <f t="shared" si="30"/>
        <v>2.3676573744017309</v>
      </c>
      <c r="T31" s="37">
        <f t="shared" si="30"/>
        <v>3.3066064740790999</v>
      </c>
      <c r="U31" s="37">
        <f t="shared" si="30"/>
        <v>2.6542746750074011</v>
      </c>
      <c r="V31" s="37">
        <f t="shared" si="30"/>
        <v>1.9600249288661946</v>
      </c>
      <c r="W31" s="38">
        <f t="shared" si="30"/>
        <v>10.288460428702622</v>
      </c>
    </row>
    <row r="32" spans="1:23" x14ac:dyDescent="0.25">
      <c r="B32" s="230" t="s">
        <v>9</v>
      </c>
      <c r="C32" s="231"/>
      <c r="D32" s="37">
        <f t="shared" ref="D32:W32" si="31">D28/D30</f>
        <v>1.6727574750830565</v>
      </c>
      <c r="E32" s="37">
        <f t="shared" si="31"/>
        <v>2.2472666105971406</v>
      </c>
      <c r="F32" s="37">
        <f t="shared" si="31"/>
        <v>1.84412265758092</v>
      </c>
      <c r="G32" s="37">
        <f t="shared" si="31"/>
        <v>1.5244215938303343</v>
      </c>
      <c r="H32" s="38">
        <f t="shared" si="31"/>
        <v>7.2876053593527068</v>
      </c>
      <c r="I32" s="37">
        <f t="shared" si="31"/>
        <v>2.075993091537133</v>
      </c>
      <c r="J32" s="37">
        <f t="shared" si="31"/>
        <v>3.0513489991296781</v>
      </c>
      <c r="K32" s="37">
        <f>K28/K30</f>
        <v>2.5127081507449605</v>
      </c>
      <c r="L32" s="37">
        <f>L28/L30</f>
        <v>2.0909901873327388</v>
      </c>
      <c r="M32" s="38">
        <f t="shared" si="31"/>
        <v>9.7298164745340241</v>
      </c>
      <c r="N32" s="187">
        <f>N28/N30</f>
        <v>2.2721518987341773</v>
      </c>
      <c r="O32" s="187">
        <f t="shared" si="31"/>
        <v>3.1656050955414012</v>
      </c>
      <c r="P32" s="187">
        <f t="shared" si="31"/>
        <v>2.5310786106032905</v>
      </c>
      <c r="Q32" s="187">
        <f t="shared" si="31"/>
        <v>1.8852141040205925</v>
      </c>
      <c r="R32" s="209">
        <f t="shared" si="31"/>
        <v>9.8537379084399728</v>
      </c>
      <c r="S32" s="187">
        <f t="shared" si="31"/>
        <v>2.3573806345982877</v>
      </c>
      <c r="T32" s="187">
        <f t="shared" si="31"/>
        <v>3.2924337596079942</v>
      </c>
      <c r="U32" s="187">
        <f t="shared" si="31"/>
        <v>2.6424847347672311</v>
      </c>
      <c r="V32" s="187">
        <f t="shared" si="31"/>
        <v>1.9513875962608043</v>
      </c>
      <c r="W32" s="209">
        <f t="shared" si="31"/>
        <v>10.243586811090998</v>
      </c>
    </row>
    <row r="33" spans="1:25" x14ac:dyDescent="0.25">
      <c r="B33" s="166" t="s">
        <v>53</v>
      </c>
      <c r="C33" s="178"/>
      <c r="D33" s="56">
        <v>0.89</v>
      </c>
      <c r="E33" s="56">
        <v>0.89</v>
      </c>
      <c r="F33" s="56">
        <v>0.89</v>
      </c>
      <c r="G33" s="56">
        <v>1.03</v>
      </c>
      <c r="H33" s="109">
        <f>+SUM(D33:G33)</f>
        <v>3.7</v>
      </c>
      <c r="I33" s="56">
        <v>1.03</v>
      </c>
      <c r="J33" s="56">
        <v>1.03</v>
      </c>
      <c r="K33" s="56">
        <v>1.03</v>
      </c>
      <c r="L33" s="56">
        <v>1.36</v>
      </c>
      <c r="M33" s="109">
        <f>+SUM(I33:L33)</f>
        <v>4.45</v>
      </c>
      <c r="N33" s="188">
        <f>+L33</f>
        <v>1.36</v>
      </c>
      <c r="O33" s="188">
        <v>1.36</v>
      </c>
      <c r="P33" s="188">
        <v>1.36</v>
      </c>
      <c r="Q33" s="139">
        <f>1.2*P33</f>
        <v>1.6320000000000001</v>
      </c>
      <c r="R33" s="109">
        <f>+SUM(N33:Q33)</f>
        <v>5.7119999999999997</v>
      </c>
      <c r="S33" s="139">
        <f>+Q33</f>
        <v>1.6320000000000001</v>
      </c>
      <c r="T33" s="139">
        <f>+S33</f>
        <v>1.6320000000000001</v>
      </c>
      <c r="U33" s="139">
        <f>+T33</f>
        <v>1.6320000000000001</v>
      </c>
      <c r="V33" s="139">
        <f>1.2*U33</f>
        <v>1.9584000000000001</v>
      </c>
      <c r="W33" s="109">
        <f>+SUM(S33:V33)</f>
        <v>6.8544000000000009</v>
      </c>
    </row>
    <row r="34" spans="1:25" x14ac:dyDescent="0.25">
      <c r="B34" s="40"/>
      <c r="C34" s="43"/>
      <c r="D34" s="140"/>
      <c r="E34" s="43"/>
      <c r="F34" s="43"/>
      <c r="G34" s="137"/>
      <c r="H34" s="16"/>
      <c r="I34" s="138"/>
      <c r="J34" s="138"/>
      <c r="K34" s="137"/>
      <c r="L34" s="138"/>
      <c r="M34" s="3"/>
      <c r="N34" s="137"/>
      <c r="O34" s="137"/>
      <c r="P34" s="137"/>
      <c r="Q34" s="211"/>
      <c r="R34" s="210"/>
      <c r="S34" s="211"/>
      <c r="T34" s="211"/>
      <c r="U34" s="211"/>
      <c r="V34" s="211"/>
      <c r="W34" s="210"/>
    </row>
    <row r="35" spans="1:25" ht="15.75" x14ac:dyDescent="0.25">
      <c r="A35" s="191"/>
      <c r="B35" s="218" t="s">
        <v>36</v>
      </c>
      <c r="C35" s="219"/>
      <c r="D35" s="23" t="s">
        <v>69</v>
      </c>
      <c r="E35" s="23" t="s">
        <v>70</v>
      </c>
      <c r="F35" s="23" t="s">
        <v>71</v>
      </c>
      <c r="G35" s="23" t="s">
        <v>72</v>
      </c>
      <c r="H35" s="66" t="s">
        <v>72</v>
      </c>
      <c r="I35" s="23" t="s">
        <v>68</v>
      </c>
      <c r="J35" s="23" t="s">
        <v>67</v>
      </c>
      <c r="K35" s="23" t="s">
        <v>66</v>
      </c>
      <c r="L35" s="23" t="s">
        <v>65</v>
      </c>
      <c r="M35" s="66" t="s">
        <v>65</v>
      </c>
      <c r="N35" s="23" t="s">
        <v>73</v>
      </c>
      <c r="O35" s="23" t="s">
        <v>74</v>
      </c>
      <c r="P35" s="23" t="s">
        <v>75</v>
      </c>
      <c r="Q35" s="25" t="s">
        <v>76</v>
      </c>
      <c r="R35" s="68" t="s">
        <v>76</v>
      </c>
      <c r="S35" s="25" t="s">
        <v>77</v>
      </c>
      <c r="T35" s="25" t="s">
        <v>78</v>
      </c>
      <c r="U35" s="25" t="s">
        <v>79</v>
      </c>
      <c r="V35" s="25" t="s">
        <v>80</v>
      </c>
      <c r="W35" s="68" t="s">
        <v>80</v>
      </c>
    </row>
    <row r="36" spans="1:25" ht="17.25" x14ac:dyDescent="0.4">
      <c r="A36" s="191"/>
      <c r="B36" s="228"/>
      <c r="C36" s="229"/>
      <c r="D36" s="24" t="s">
        <v>39</v>
      </c>
      <c r="E36" s="24" t="s">
        <v>40</v>
      </c>
      <c r="F36" s="24" t="s">
        <v>41</v>
      </c>
      <c r="G36" s="24" t="s">
        <v>42</v>
      </c>
      <c r="H36" s="67" t="s">
        <v>43</v>
      </c>
      <c r="I36" s="24" t="s">
        <v>44</v>
      </c>
      <c r="J36" s="24" t="s">
        <v>45</v>
      </c>
      <c r="K36" s="24" t="s">
        <v>46</v>
      </c>
      <c r="L36" s="24" t="s">
        <v>47</v>
      </c>
      <c r="M36" s="67" t="s">
        <v>48</v>
      </c>
      <c r="N36" s="24" t="s">
        <v>49</v>
      </c>
      <c r="O36" s="24" t="s">
        <v>125</v>
      </c>
      <c r="P36" s="24" t="s">
        <v>126</v>
      </c>
      <c r="Q36" s="22" t="s">
        <v>118</v>
      </c>
      <c r="R36" s="69" t="s">
        <v>119</v>
      </c>
      <c r="S36" s="22" t="s">
        <v>120</v>
      </c>
      <c r="T36" s="22" t="s">
        <v>121</v>
      </c>
      <c r="U36" s="22" t="s">
        <v>122</v>
      </c>
      <c r="V36" s="22" t="s">
        <v>123</v>
      </c>
      <c r="W36" s="69" t="s">
        <v>124</v>
      </c>
    </row>
    <row r="37" spans="1:25" s="20" customFormat="1" outlineLevel="1" x14ac:dyDescent="0.25">
      <c r="A37" s="193"/>
      <c r="B37" s="237" t="s">
        <v>81</v>
      </c>
      <c r="C37" s="238"/>
      <c r="D37" s="34">
        <v>2281</v>
      </c>
      <c r="E37" s="34">
        <v>2282</v>
      </c>
      <c r="F37" s="34">
        <v>2283</v>
      </c>
      <c r="G37" s="34">
        <v>2284</v>
      </c>
      <c r="H37" s="152"/>
      <c r="I37" s="34">
        <v>2285</v>
      </c>
      <c r="J37" s="34">
        <v>2286</v>
      </c>
      <c r="K37" s="34">
        <v>2286</v>
      </c>
      <c r="L37" s="34">
        <v>2287</v>
      </c>
      <c r="M37" s="152">
        <f>L37</f>
        <v>2287</v>
      </c>
      <c r="N37" s="34">
        <v>2289</v>
      </c>
      <c r="O37" s="34">
        <v>2291</v>
      </c>
      <c r="P37" s="34">
        <f t="shared" ref="P37:Q37" si="32">+O37+P38</f>
        <v>2290</v>
      </c>
      <c r="Q37" s="34">
        <f t="shared" si="32"/>
        <v>2292</v>
      </c>
      <c r="R37" s="152">
        <f>Q37</f>
        <v>2292</v>
      </c>
      <c r="S37" s="34">
        <f>+Q37+S38</f>
        <v>2293</v>
      </c>
      <c r="T37" s="34">
        <f>+S37+T38</f>
        <v>2294</v>
      </c>
      <c r="U37" s="34">
        <f t="shared" ref="U37" si="33">+T37+U38</f>
        <v>2295</v>
      </c>
      <c r="V37" s="34">
        <f t="shared" ref="V37" si="34">+U37+V38</f>
        <v>2296</v>
      </c>
      <c r="W37" s="152">
        <f>V37</f>
        <v>2296</v>
      </c>
    </row>
    <row r="38" spans="1:25" outlineLevel="1" x14ac:dyDescent="0.25">
      <c r="A38" s="191"/>
      <c r="B38" s="41" t="s">
        <v>88</v>
      </c>
      <c r="C38" s="59"/>
      <c r="D38" s="26">
        <f>D37-2278</f>
        <v>3</v>
      </c>
      <c r="E38" s="26">
        <f>+E37-D37</f>
        <v>1</v>
      </c>
      <c r="F38" s="26">
        <f t="shared" ref="F38" si="35">+F37-E37</f>
        <v>1</v>
      </c>
      <c r="G38" s="26">
        <f>+G37-F37</f>
        <v>1</v>
      </c>
      <c r="H38" s="42">
        <f>SUM(D38:G38)</f>
        <v>6</v>
      </c>
      <c r="I38" s="26">
        <f>+I37-G37</f>
        <v>1</v>
      </c>
      <c r="J38" s="26">
        <f>+J37-I37</f>
        <v>1</v>
      </c>
      <c r="K38" s="26">
        <f t="shared" ref="K38" si="36">+K37-J37</f>
        <v>0</v>
      </c>
      <c r="L38" s="26">
        <f>+L37-K37</f>
        <v>1</v>
      </c>
      <c r="M38" s="42">
        <f>SUM(I38:L38)</f>
        <v>3</v>
      </c>
      <c r="N38" s="26">
        <f>+N37-L37</f>
        <v>2</v>
      </c>
      <c r="O38" s="26">
        <f>+O37-N37</f>
        <v>2</v>
      </c>
      <c r="P38" s="183">
        <v>-1</v>
      </c>
      <c r="Q38" s="49">
        <v>2</v>
      </c>
      <c r="R38" s="205">
        <f>SUM(N38:Q38)</f>
        <v>5</v>
      </c>
      <c r="S38" s="49">
        <v>1</v>
      </c>
      <c r="T38" s="49">
        <v>1</v>
      </c>
      <c r="U38" s="49">
        <v>1</v>
      </c>
      <c r="V38" s="49">
        <v>1</v>
      </c>
      <c r="W38" s="42">
        <f>SUM(S38:V38)</f>
        <v>4</v>
      </c>
    </row>
    <row r="39" spans="1:25" s="121" customFormat="1" outlineLevel="1" x14ac:dyDescent="0.25">
      <c r="A39" s="196"/>
      <c r="B39" s="122" t="s">
        <v>54</v>
      </c>
      <c r="C39" s="123"/>
      <c r="D39" s="125">
        <v>2278</v>
      </c>
      <c r="E39" s="125">
        <v>2278</v>
      </c>
      <c r="F39" s="125">
        <v>2278</v>
      </c>
      <c r="G39" s="125">
        <v>2278</v>
      </c>
      <c r="H39" s="126">
        <f>AVERAGE(D39:G39)</f>
        <v>2278</v>
      </c>
      <c r="I39" s="125">
        <f>D37</f>
        <v>2281</v>
      </c>
      <c r="J39" s="125">
        <f>E37</f>
        <v>2282</v>
      </c>
      <c r="K39" s="125">
        <f>F37</f>
        <v>2283</v>
      </c>
      <c r="L39" s="125">
        <f>G37</f>
        <v>2284</v>
      </c>
      <c r="M39" s="126">
        <f>AVERAGE(I39:L39)</f>
        <v>2282.5</v>
      </c>
      <c r="N39" s="125">
        <f>I37</f>
        <v>2285</v>
      </c>
      <c r="O39" s="125">
        <f>J37</f>
        <v>2286</v>
      </c>
      <c r="P39" s="125">
        <f t="shared" ref="P39" si="37">K37</f>
        <v>2286</v>
      </c>
      <c r="Q39" s="125">
        <f>L37</f>
        <v>2287</v>
      </c>
      <c r="R39" s="126">
        <f>AVERAGE(N39:Q39)</f>
        <v>2286</v>
      </c>
      <c r="S39" s="125">
        <f>N37</f>
        <v>2289</v>
      </c>
      <c r="T39" s="125">
        <f t="shared" ref="T39" si="38">O37</f>
        <v>2291</v>
      </c>
      <c r="U39" s="125">
        <f t="shared" ref="U39" si="39">P37</f>
        <v>2290</v>
      </c>
      <c r="V39" s="125">
        <f>Q37</f>
        <v>2292</v>
      </c>
      <c r="W39" s="126">
        <f>AVERAGE(S39:V39)</f>
        <v>2290.5</v>
      </c>
    </row>
    <row r="40" spans="1:25" s="121" customFormat="1" outlineLevel="1" x14ac:dyDescent="0.25">
      <c r="A40" s="196"/>
      <c r="B40" s="122" t="s">
        <v>55</v>
      </c>
      <c r="C40" s="123"/>
      <c r="D40" s="163">
        <v>10.477565438414539</v>
      </c>
      <c r="E40" s="163">
        <v>12.338945366188232</v>
      </c>
      <c r="F40" s="163">
        <v>10.978759745425613</v>
      </c>
      <c r="G40" s="163">
        <v>10.502805820781584</v>
      </c>
      <c r="H40" s="130">
        <f>SUM(D40:G40)</f>
        <v>44.298076370809966</v>
      </c>
      <c r="I40" s="163">
        <v>11.243870807581272</v>
      </c>
      <c r="J40" s="163">
        <v>13.068968794428521</v>
      </c>
      <c r="K40" s="163">
        <v>11.474538198287984</v>
      </c>
      <c r="L40" s="163">
        <v>10.773426965048801</v>
      </c>
      <c r="M40" s="130">
        <f>SUM(I40:L40)</f>
        <v>46.560804765346575</v>
      </c>
      <c r="N40" s="163">
        <f>I40*(1+N46)</f>
        <v>11.524967577770804</v>
      </c>
      <c r="O40" s="163">
        <f>J40*(1+O46)</f>
        <v>13.461037858261378</v>
      </c>
      <c r="P40" s="163">
        <f>K40*(1+P46)</f>
        <v>11.887621573426353</v>
      </c>
      <c r="Q40" s="163">
        <f>L40*(1+Q46)</f>
        <v>11.236684324545898</v>
      </c>
      <c r="R40" s="130">
        <f>SUM(N40:Q40)</f>
        <v>48.110311334004429</v>
      </c>
      <c r="S40" s="163">
        <f>N40*(1+S46)</f>
        <v>11.997491248459406</v>
      </c>
      <c r="T40" s="163">
        <f>O40*(1+T46)</f>
        <v>13.959096259017048</v>
      </c>
      <c r="U40" s="163">
        <f>P40*(1+U46)</f>
        <v>12.327463571643127</v>
      </c>
      <c r="V40" s="163">
        <f>Q40*(1+V46)</f>
        <v>11.61873159158046</v>
      </c>
      <c r="W40" s="130">
        <f>SUM(S40:V40)</f>
        <v>49.902782670700049</v>
      </c>
    </row>
    <row r="41" spans="1:25" ht="17.25" outlineLevel="1" x14ac:dyDescent="0.4">
      <c r="A41" s="191"/>
      <c r="B41" s="165" t="s">
        <v>89</v>
      </c>
      <c r="C41" s="117"/>
      <c r="D41" s="48">
        <f>+(D37-D39)*D44-12</f>
        <v>19.416483998246381</v>
      </c>
      <c r="E41" s="48">
        <f>+(E37-E39)*E44-49</f>
        <v>0.26906222611744113</v>
      </c>
      <c r="F41" s="48">
        <f>+(F37-F39)*F44-38</f>
        <v>16.809461235216823</v>
      </c>
      <c r="G41" s="48">
        <f>+(G37-G39)*G44-105</f>
        <v>-42.260070052539405</v>
      </c>
      <c r="H41" s="164">
        <f>SUM(D41:G41)</f>
        <v>-5.7650625929587562</v>
      </c>
      <c r="I41" s="48">
        <f>+(I37-I39)*I44-744</f>
        <v>-700.3291028446389</v>
      </c>
      <c r="J41" s="48">
        <v>640</v>
      </c>
      <c r="K41" s="48">
        <f>250-144</f>
        <v>106</v>
      </c>
      <c r="L41" s="48">
        <f>+(L37-L39)*L44+1700+150</f>
        <v>1884.7498906864889</v>
      </c>
      <c r="M41" s="164">
        <f>SUM(I41:L41)</f>
        <v>1930.4207878418501</v>
      </c>
      <c r="N41" s="48">
        <f>+(N37-N39)*N44</f>
        <v>46.100480559196157</v>
      </c>
      <c r="O41" s="48">
        <f>+(O37-O39)*O44</f>
        <v>67.304670449585331</v>
      </c>
      <c r="P41" s="48">
        <f>+(P37-P39)*P44</f>
        <v>47.55109170305677</v>
      </c>
      <c r="Q41" s="48">
        <f>(Q37-Q39)*AVERAGE(N40:Q40)</f>
        <v>60.137889167505534</v>
      </c>
      <c r="R41" s="164">
        <f>SUM(N41:Q41)</f>
        <v>221.09413187934379</v>
      </c>
      <c r="S41" s="48">
        <v>51</v>
      </c>
      <c r="T41" s="48">
        <f>AVERAGE(S41,Q41,P41,O41)</f>
        <v>56.498412830036912</v>
      </c>
      <c r="U41" s="48">
        <f>AVERAGE(T41,S41,Q41,P41)</f>
        <v>53.796848425149804</v>
      </c>
      <c r="V41" s="48">
        <f>AVERAGE(U41,T41,S41,Q41)</f>
        <v>55.358287605673063</v>
      </c>
      <c r="W41" s="164">
        <f>SUM(S41:V41)</f>
        <v>216.65354886085979</v>
      </c>
    </row>
    <row r="42" spans="1:25" s="20" customFormat="1" outlineLevel="1" x14ac:dyDescent="0.25">
      <c r="A42" s="193"/>
      <c r="B42" s="220" t="s">
        <v>90</v>
      </c>
      <c r="C42" s="221"/>
      <c r="D42" s="34">
        <f t="shared" ref="D42:M42" si="40">+D14</f>
        <v>23887</v>
      </c>
      <c r="E42" s="34">
        <f t="shared" si="40"/>
        <v>28108</v>
      </c>
      <c r="F42" s="34">
        <f t="shared" si="40"/>
        <v>25026</v>
      </c>
      <c r="G42" s="34">
        <f t="shared" si="40"/>
        <v>23883</v>
      </c>
      <c r="H42" s="152">
        <f t="shared" si="40"/>
        <v>100904</v>
      </c>
      <c r="I42" s="34">
        <f t="shared" si="40"/>
        <v>24947</v>
      </c>
      <c r="J42" s="34">
        <f t="shared" si="40"/>
        <v>30463</v>
      </c>
      <c r="K42" s="34">
        <f t="shared" si="40"/>
        <v>26302</v>
      </c>
      <c r="L42" s="34">
        <f>+L14</f>
        <v>26491</v>
      </c>
      <c r="M42" s="152">
        <f t="shared" si="40"/>
        <v>108203</v>
      </c>
      <c r="N42" s="34">
        <f>+N14</f>
        <v>26381</v>
      </c>
      <c r="O42" s="34">
        <f>+O14</f>
        <v>30839</v>
      </c>
      <c r="P42" s="34">
        <f>+P14</f>
        <v>27223</v>
      </c>
      <c r="Q42" s="34">
        <f>+Q39*Q40+Q41</f>
        <v>25758.434939403975</v>
      </c>
      <c r="R42" s="244">
        <f>+R14</f>
        <v>110201.43493940397</v>
      </c>
      <c r="S42" s="34">
        <f>+S39*S40+S41</f>
        <v>27513.257467723579</v>
      </c>
      <c r="T42" s="34">
        <f>+T39*T40+T41</f>
        <v>32036.787942238097</v>
      </c>
      <c r="U42" s="34">
        <f>+U39*U40+U41</f>
        <v>28283.688427487912</v>
      </c>
      <c r="V42" s="34">
        <f>+V39*V40+V41</f>
        <v>26685.491095508085</v>
      </c>
      <c r="W42" s="152">
        <f>+W14</f>
        <v>114519.22493295767</v>
      </c>
    </row>
    <row r="43" spans="1:25" s="20" customFormat="1" outlineLevel="1" x14ac:dyDescent="0.25">
      <c r="A43" s="193"/>
      <c r="B43" s="143" t="s">
        <v>92</v>
      </c>
      <c r="C43" s="144"/>
      <c r="D43" s="34"/>
      <c r="E43" s="34"/>
      <c r="F43" s="34"/>
      <c r="G43" s="34"/>
      <c r="H43" s="152"/>
      <c r="I43" s="134">
        <f>+I42/D42-1</f>
        <v>4.4375601791769581E-2</v>
      </c>
      <c r="J43" s="134">
        <f t="shared" ref="J43:R43" si="41">+J42/E42-1</f>
        <v>8.3783976092215662E-2</v>
      </c>
      <c r="K43" s="134">
        <f t="shared" si="41"/>
        <v>5.0986973547510583E-2</v>
      </c>
      <c r="L43" s="134">
        <f t="shared" si="41"/>
        <v>0.10919901184943259</v>
      </c>
      <c r="M43" s="147">
        <f t="shared" si="41"/>
        <v>7.2336081820344011E-2</v>
      </c>
      <c r="N43" s="134">
        <f t="shared" si="41"/>
        <v>5.7481861546478497E-2</v>
      </c>
      <c r="O43" s="134">
        <f t="shared" si="41"/>
        <v>1.2342842136362053E-2</v>
      </c>
      <c r="P43" s="134">
        <f t="shared" si="41"/>
        <v>3.5016348566648814E-2</v>
      </c>
      <c r="Q43" s="134">
        <f t="shared" si="41"/>
        <v>-2.7653356256691963E-2</v>
      </c>
      <c r="R43" s="245">
        <f t="shared" si="41"/>
        <v>1.8469311751097228E-2</v>
      </c>
      <c r="S43" s="134">
        <f t="shared" ref="S43" si="42">+S42/N42-1</f>
        <v>4.2919429427374922E-2</v>
      </c>
      <c r="T43" s="134">
        <f t="shared" ref="T43" si="43">+T42/O42-1</f>
        <v>3.8840038335811622E-2</v>
      </c>
      <c r="U43" s="134">
        <f t="shared" ref="U43" si="44">+U42/P42-1</f>
        <v>3.8962951456045003E-2</v>
      </c>
      <c r="V43" s="134">
        <f t="shared" ref="V43" si="45">+V42/Q42-1</f>
        <v>3.5990391430418267E-2</v>
      </c>
      <c r="W43" s="240">
        <f t="shared" ref="W43" si="46">+W42/R42-1</f>
        <v>3.9180887217375115E-2</v>
      </c>
    </row>
    <row r="44" spans="1:25" s="20" customFormat="1" outlineLevel="1" x14ac:dyDescent="0.25">
      <c r="A44" s="193"/>
      <c r="B44" s="127" t="s">
        <v>91</v>
      </c>
      <c r="C44" s="61"/>
      <c r="D44" s="129">
        <f>+D42/D37</f>
        <v>10.472161332748794</v>
      </c>
      <c r="E44" s="129">
        <f>+E42/E37</f>
        <v>12.31726555652936</v>
      </c>
      <c r="F44" s="129">
        <f>+F42/F37</f>
        <v>10.961892247043364</v>
      </c>
      <c r="G44" s="129">
        <f>+G42/G37</f>
        <v>10.456654991243433</v>
      </c>
      <c r="H44" s="130"/>
      <c r="I44" s="129">
        <f>+I42/I37</f>
        <v>10.917724288840263</v>
      </c>
      <c r="J44" s="129">
        <f>+J42/J37</f>
        <v>13.325896762904637</v>
      </c>
      <c r="K44" s="129">
        <f>+K42/K37</f>
        <v>11.505686789151357</v>
      </c>
      <c r="L44" s="129">
        <f>+L42/L37</f>
        <v>11.583296895496284</v>
      </c>
      <c r="M44" s="132"/>
      <c r="N44" s="131">
        <f>+N42/N37</f>
        <v>11.525120139799039</v>
      </c>
      <c r="O44" s="131">
        <f>+O42/O37</f>
        <v>13.460934089917068</v>
      </c>
      <c r="P44" s="131">
        <f>+P42/P37</f>
        <v>11.887772925764192</v>
      </c>
      <c r="Q44" s="131">
        <f>+Q42/Q37</f>
        <v>11.238409659425818</v>
      </c>
      <c r="R44" s="241"/>
      <c r="S44" s="131">
        <f>+S42/S37</f>
        <v>11.998803954524021</v>
      </c>
      <c r="T44" s="131">
        <f>+T42/T37</f>
        <v>13.965469896354881</v>
      </c>
      <c r="U44" s="131">
        <f>+U42/U37</f>
        <v>12.324047245092773</v>
      </c>
      <c r="V44" s="131">
        <f>+V42/V37</f>
        <v>11.622600651353695</v>
      </c>
      <c r="W44" s="241"/>
    </row>
    <row r="45" spans="1:25" s="121" customFormat="1" outlineLevel="1" x14ac:dyDescent="0.25">
      <c r="A45" s="196"/>
      <c r="B45" s="127" t="s">
        <v>56</v>
      </c>
      <c r="C45" s="128"/>
      <c r="D45" s="124">
        <f>ROUND((+D42-D41-(D39*D40)),0)</f>
        <v>0</v>
      </c>
      <c r="E45" s="124">
        <f>ROUND((+E42-E41-(E39*E40)),0)</f>
        <v>0</v>
      </c>
      <c r="F45" s="124">
        <f>ROUND((+F42-F41-(F39*F40)),0)</f>
        <v>0</v>
      </c>
      <c r="G45" s="124">
        <f>ROUND((+G42-G41-(G39*G40)),0)</f>
        <v>0</v>
      </c>
      <c r="H45" s="126"/>
      <c r="I45" s="124">
        <f>ROUND((+I42-I41-(I39*I40)),0)</f>
        <v>0</v>
      </c>
      <c r="J45" s="124">
        <f>ROUND((+J42-J41-(J39*J40)),0)</f>
        <v>0</v>
      </c>
      <c r="K45" s="124">
        <f>ROUND((+K42-K41-(K39*K40)),0)</f>
        <v>0</v>
      </c>
      <c r="L45" s="124">
        <f>ROUND((+L42-L41-(L39*L40)),0)</f>
        <v>0</v>
      </c>
      <c r="M45" s="126"/>
      <c r="N45" s="124">
        <f>ROUND((+N42-N41-(N39*N40)),0)</f>
        <v>0</v>
      </c>
      <c r="O45" s="129">
        <f>ROUND((+O42-O41-(O39*O40)),0)</f>
        <v>0</v>
      </c>
      <c r="P45" s="129">
        <f>ROUND((+P42-P41-(P39*P40)),0)</f>
        <v>0</v>
      </c>
      <c r="Q45" s="129">
        <f>ROUND((+Q42-Q41-(Q39*Q40)),0)</f>
        <v>0</v>
      </c>
      <c r="R45" s="242"/>
      <c r="S45" s="124">
        <f>ROUND((+S42-S41-(S39*S40)),0)</f>
        <v>0</v>
      </c>
      <c r="T45" s="129">
        <f>ROUND((+T42-T41-(T39*T40)),0)</f>
        <v>0</v>
      </c>
      <c r="U45" s="129">
        <f>ROUND((+U42-U41-(U39*U40)),0)</f>
        <v>0</v>
      </c>
      <c r="V45" s="129">
        <f>ROUND((+V42-V41-(V39*V40)),0)</f>
        <v>0</v>
      </c>
      <c r="W45" s="242"/>
    </row>
    <row r="46" spans="1:25" s="20" customFormat="1" outlineLevel="1" x14ac:dyDescent="0.25">
      <c r="A46" s="193"/>
      <c r="B46" s="154" t="s">
        <v>83</v>
      </c>
      <c r="C46" s="145"/>
      <c r="D46" s="155">
        <v>5.5E-2</v>
      </c>
      <c r="E46" s="155">
        <v>6.3E-2</v>
      </c>
      <c r="F46" s="155">
        <v>7.9000000000000001E-2</v>
      </c>
      <c r="G46" s="155">
        <v>7.4999999999999997E-2</v>
      </c>
      <c r="H46" s="156">
        <v>6.8000000000000005E-2</v>
      </c>
      <c r="I46" s="155">
        <v>4.2000000000000003E-2</v>
      </c>
      <c r="J46" s="155">
        <v>0.08</v>
      </c>
      <c r="K46" s="155">
        <v>4.8000000000000001E-2</v>
      </c>
      <c r="L46" s="155">
        <v>3.2000000000000001E-2</v>
      </c>
      <c r="M46" s="194">
        <f>+M40/H40-1</f>
        <v>5.1079608414500433E-2</v>
      </c>
      <c r="N46" s="195">
        <v>2.5000000000000001E-2</v>
      </c>
      <c r="O46" s="195">
        <v>0.03</v>
      </c>
      <c r="P46" s="195">
        <v>3.5999999999999997E-2</v>
      </c>
      <c r="Q46" s="157">
        <v>4.2999999999999997E-2</v>
      </c>
      <c r="R46" s="194">
        <f>+R40/M40-1</f>
        <v>3.3279205040955162E-2</v>
      </c>
      <c r="S46" s="157">
        <v>4.1000000000000002E-2</v>
      </c>
      <c r="T46" s="157">
        <v>3.6999999999999998E-2</v>
      </c>
      <c r="U46" s="157">
        <v>3.6999999999999998E-2</v>
      </c>
      <c r="V46" s="157">
        <v>3.4000000000000002E-2</v>
      </c>
      <c r="W46" s="194">
        <f>+W40/R40-1</f>
        <v>3.7257529352729302E-2</v>
      </c>
    </row>
    <row r="47" spans="1:25" s="20" customFormat="1" outlineLevel="1" x14ac:dyDescent="0.25">
      <c r="A47" s="193"/>
      <c r="B47" s="41" t="s">
        <v>86</v>
      </c>
      <c r="C47" s="142"/>
      <c r="D47" s="192">
        <v>380.8</v>
      </c>
      <c r="E47" s="192">
        <v>441.8</v>
      </c>
      <c r="F47" s="192">
        <v>389.5</v>
      </c>
      <c r="G47" s="192">
        <v>366.5</v>
      </c>
      <c r="H47" s="47">
        <v>1578.6</v>
      </c>
      <c r="I47" s="192">
        <v>375.9</v>
      </c>
      <c r="J47" s="192">
        <v>455.4</v>
      </c>
      <c r="K47" s="192">
        <v>394.8</v>
      </c>
      <c r="L47" s="192">
        <v>394.8</v>
      </c>
      <c r="M47" s="47">
        <v>1620.8</v>
      </c>
      <c r="N47" s="192">
        <v>390</v>
      </c>
      <c r="O47" s="39">
        <v>455.5</v>
      </c>
      <c r="P47" s="39">
        <v>400.9</v>
      </c>
      <c r="Q47" s="37"/>
      <c r="R47" s="243"/>
      <c r="S47" s="37"/>
      <c r="T47" s="37"/>
      <c r="U47" s="37"/>
      <c r="V47" s="37"/>
      <c r="W47" s="243"/>
      <c r="X47" s="151"/>
      <c r="Y47" s="151"/>
    </row>
    <row r="48" spans="1:25" s="20" customFormat="1" outlineLevel="1" x14ac:dyDescent="0.25">
      <c r="A48" s="193"/>
      <c r="B48" s="64" t="s">
        <v>84</v>
      </c>
      <c r="C48" s="142"/>
      <c r="D48" s="44">
        <v>1.4999999999999999E-2</v>
      </c>
      <c r="E48" s="44">
        <v>2.5999999999999999E-2</v>
      </c>
      <c r="F48" s="44">
        <v>2.7E-2</v>
      </c>
      <c r="G48" s="44"/>
      <c r="H48" s="65">
        <v>2.1999999999999999E-2</v>
      </c>
      <c r="I48" s="44">
        <v>-1.4999999999999999E-2</v>
      </c>
      <c r="J48" s="44">
        <v>2.9000000000000001E-2</v>
      </c>
      <c r="K48" s="44">
        <v>1.2E-2</v>
      </c>
      <c r="L48" s="44"/>
      <c r="M48" s="47"/>
      <c r="N48" s="44">
        <f>N47/I47-1</f>
        <v>3.7509976057462202E-2</v>
      </c>
      <c r="O48" s="44">
        <f>O47/J47-1</f>
        <v>2.1958717610903733E-4</v>
      </c>
      <c r="P48" s="44">
        <f>P47/K47-1</f>
        <v>1.5450861195541954E-2</v>
      </c>
      <c r="Q48" s="34"/>
      <c r="R48" s="120"/>
      <c r="S48" s="34"/>
      <c r="T48" s="34"/>
      <c r="U48" s="34"/>
      <c r="V48" s="34"/>
      <c r="W48" s="120"/>
    </row>
    <row r="49" spans="1:23" s="20" customFormat="1" outlineLevel="1" x14ac:dyDescent="0.25">
      <c r="A49" s="193"/>
      <c r="B49" s="41" t="s">
        <v>87</v>
      </c>
      <c r="C49" s="142"/>
      <c r="D49" s="39">
        <v>62.39</v>
      </c>
      <c r="E49" s="39">
        <v>63.05</v>
      </c>
      <c r="F49" s="39">
        <v>62.84</v>
      </c>
      <c r="G49" s="39">
        <v>64</v>
      </c>
      <c r="H49" s="141">
        <v>63.06</v>
      </c>
      <c r="I49" s="39">
        <v>66.02</v>
      </c>
      <c r="J49" s="39">
        <v>66.2</v>
      </c>
      <c r="K49" s="39">
        <v>65.11</v>
      </c>
      <c r="L49" s="39">
        <v>65.59</v>
      </c>
      <c r="M49" s="141">
        <v>65.739999999999995</v>
      </c>
      <c r="N49" s="39">
        <v>67.31</v>
      </c>
      <c r="O49" s="39">
        <v>67.31</v>
      </c>
      <c r="P49" s="39">
        <v>66.36</v>
      </c>
      <c r="Q49" s="37"/>
      <c r="R49" s="150"/>
      <c r="S49" s="37"/>
      <c r="T49" s="37"/>
      <c r="U49" s="37"/>
      <c r="V49" s="37"/>
      <c r="W49" s="150"/>
    </row>
    <row r="50" spans="1:23" s="20" customFormat="1" outlineLevel="1" x14ac:dyDescent="0.25">
      <c r="A50" s="193"/>
      <c r="B50" s="64" t="s">
        <v>85</v>
      </c>
      <c r="C50" s="142"/>
      <c r="D50" s="44">
        <v>3.9E-2</v>
      </c>
      <c r="E50" s="44">
        <v>3.5999999999999997E-2</v>
      </c>
      <c r="F50" s="44">
        <v>5.0999999999999997E-2</v>
      </c>
      <c r="G50" s="44"/>
      <c r="H50" s="65">
        <v>4.4999999999999998E-2</v>
      </c>
      <c r="I50" s="44">
        <v>5.8000000000000003E-2</v>
      </c>
      <c r="J50" s="44">
        <v>4.9000000000000002E-2</v>
      </c>
      <c r="K50" s="44">
        <v>3.5000000000000003E-2</v>
      </c>
      <c r="L50" s="44"/>
      <c r="M50" s="47"/>
      <c r="N50" s="44">
        <f>N49/I49-1</f>
        <v>1.9539533474704829E-2</v>
      </c>
      <c r="O50" s="44">
        <f>O49/J49-1</f>
        <v>1.6767371601208447E-2</v>
      </c>
      <c r="P50" s="44">
        <f>P49/K49-1</f>
        <v>1.9198279834126808E-2</v>
      </c>
      <c r="Q50" s="34"/>
      <c r="R50" s="120"/>
      <c r="S50" s="34"/>
      <c r="T50" s="34"/>
      <c r="U50" s="200"/>
      <c r="V50" s="34"/>
      <c r="W50" s="120"/>
    </row>
    <row r="51" spans="1:23" s="20" customFormat="1" outlineLevel="1" x14ac:dyDescent="0.25">
      <c r="A51" s="193"/>
      <c r="B51" s="158" t="s">
        <v>82</v>
      </c>
      <c r="C51" s="159"/>
      <c r="D51" s="160">
        <v>394.17</v>
      </c>
      <c r="E51" s="160">
        <v>464.38</v>
      </c>
      <c r="F51" s="160">
        <v>412.49</v>
      </c>
      <c r="G51" s="160">
        <v>394.87</v>
      </c>
      <c r="H51" s="161">
        <v>417.02</v>
      </c>
      <c r="I51" s="160">
        <v>412.03</v>
      </c>
      <c r="J51" s="160">
        <v>504.2</v>
      </c>
      <c r="K51" s="160">
        <v>433.99</v>
      </c>
      <c r="L51" s="160">
        <v>414.17</v>
      </c>
      <c r="M51" s="161">
        <v>446.86</v>
      </c>
      <c r="N51" s="160">
        <v>435.18</v>
      </c>
      <c r="O51" s="202">
        <v>509.55</v>
      </c>
      <c r="P51" s="202">
        <v>449.17</v>
      </c>
      <c r="Q51" s="133"/>
      <c r="R51" s="162"/>
      <c r="S51" s="133"/>
      <c r="T51" s="133"/>
      <c r="U51" s="133"/>
      <c r="V51" s="133"/>
      <c r="W51" s="162"/>
    </row>
    <row r="52" spans="1:23" ht="18" x14ac:dyDescent="0.4">
      <c r="A52" s="191"/>
      <c r="B52" s="218" t="s">
        <v>37</v>
      </c>
      <c r="C52" s="219"/>
      <c r="D52" s="24" t="s">
        <v>39</v>
      </c>
      <c r="E52" s="24" t="s">
        <v>40</v>
      </c>
      <c r="F52" s="24" t="s">
        <v>41</v>
      </c>
      <c r="G52" s="24" t="s">
        <v>42</v>
      </c>
      <c r="H52" s="67" t="s">
        <v>43</v>
      </c>
      <c r="I52" s="24" t="s">
        <v>44</v>
      </c>
      <c r="J52" s="24" t="s">
        <v>45</v>
      </c>
      <c r="K52" s="24" t="s">
        <v>46</v>
      </c>
      <c r="L52" s="24" t="s">
        <v>47</v>
      </c>
      <c r="M52" s="67" t="s">
        <v>48</v>
      </c>
      <c r="N52" s="24" t="s">
        <v>49</v>
      </c>
      <c r="O52" s="24" t="s">
        <v>125</v>
      </c>
      <c r="P52" s="24" t="s">
        <v>126</v>
      </c>
      <c r="Q52" s="22" t="s">
        <v>118</v>
      </c>
      <c r="R52" s="69" t="s">
        <v>119</v>
      </c>
      <c r="S52" s="22" t="s">
        <v>120</v>
      </c>
      <c r="T52" s="22" t="s">
        <v>121</v>
      </c>
      <c r="U52" s="22" t="s">
        <v>122</v>
      </c>
      <c r="V52" s="22" t="s">
        <v>123</v>
      </c>
      <c r="W52" s="69" t="s">
        <v>124</v>
      </c>
    </row>
    <row r="53" spans="1:23" s="135" customFormat="1" ht="15.6" customHeight="1" x14ac:dyDescent="0.25">
      <c r="A53" s="197"/>
      <c r="B53" s="122" t="s">
        <v>95</v>
      </c>
      <c r="C53" s="136"/>
      <c r="D53" s="124">
        <f t="shared" ref="D53:W53" si="47">+D42-D14</f>
        <v>0</v>
      </c>
      <c r="E53" s="124">
        <f t="shared" si="47"/>
        <v>0</v>
      </c>
      <c r="F53" s="124">
        <f t="shared" si="47"/>
        <v>0</v>
      </c>
      <c r="G53" s="124">
        <f t="shared" si="47"/>
        <v>0</v>
      </c>
      <c r="H53" s="126">
        <f t="shared" si="47"/>
        <v>0</v>
      </c>
      <c r="I53" s="124">
        <f t="shared" si="47"/>
        <v>0</v>
      </c>
      <c r="J53" s="124">
        <f t="shared" si="47"/>
        <v>0</v>
      </c>
      <c r="K53" s="124">
        <f t="shared" si="47"/>
        <v>0</v>
      </c>
      <c r="L53" s="124">
        <f t="shared" si="47"/>
        <v>0</v>
      </c>
      <c r="M53" s="126">
        <f t="shared" si="47"/>
        <v>0</v>
      </c>
      <c r="N53" s="124">
        <f t="shared" si="47"/>
        <v>0</v>
      </c>
      <c r="O53" s="124">
        <f t="shared" si="47"/>
        <v>0</v>
      </c>
      <c r="P53" s="124">
        <f t="shared" si="47"/>
        <v>0</v>
      </c>
      <c r="Q53" s="124">
        <f t="shared" si="47"/>
        <v>0</v>
      </c>
      <c r="R53" s="126">
        <f t="shared" si="47"/>
        <v>0</v>
      </c>
      <c r="S53" s="124">
        <f t="shared" si="47"/>
        <v>0</v>
      </c>
      <c r="T53" s="124">
        <f t="shared" si="47"/>
        <v>0</v>
      </c>
      <c r="U53" s="124">
        <f t="shared" si="47"/>
        <v>0</v>
      </c>
      <c r="V53" s="124">
        <f t="shared" si="47"/>
        <v>0</v>
      </c>
      <c r="W53" s="126">
        <f t="shared" si="47"/>
        <v>0</v>
      </c>
    </row>
    <row r="54" spans="1:23" ht="15" customHeight="1" x14ac:dyDescent="0.4">
      <c r="A54" s="191"/>
      <c r="B54" s="218" t="s">
        <v>15</v>
      </c>
      <c r="C54" s="219"/>
      <c r="D54" s="24" t="s">
        <v>39</v>
      </c>
      <c r="E54" s="24" t="s">
        <v>40</v>
      </c>
      <c r="F54" s="24" t="s">
        <v>41</v>
      </c>
      <c r="G54" s="24" t="s">
        <v>42</v>
      </c>
      <c r="H54" s="67" t="s">
        <v>43</v>
      </c>
      <c r="I54" s="24" t="s">
        <v>44</v>
      </c>
      <c r="J54" s="24" t="s">
        <v>45</v>
      </c>
      <c r="K54" s="24" t="s">
        <v>46</v>
      </c>
      <c r="L54" s="24" t="s">
        <v>47</v>
      </c>
      <c r="M54" s="67" t="s">
        <v>48</v>
      </c>
      <c r="N54" s="24" t="s">
        <v>49</v>
      </c>
      <c r="O54" s="24" t="s">
        <v>125</v>
      </c>
      <c r="P54" s="24" t="s">
        <v>126</v>
      </c>
      <c r="Q54" s="22" t="s">
        <v>118</v>
      </c>
      <c r="R54" s="69" t="s">
        <v>119</v>
      </c>
      <c r="S54" s="22" t="s">
        <v>120</v>
      </c>
      <c r="T54" s="22" t="s">
        <v>121</v>
      </c>
      <c r="U54" s="22" t="s">
        <v>122</v>
      </c>
      <c r="V54" s="22" t="s">
        <v>123</v>
      </c>
      <c r="W54" s="69" t="s">
        <v>124</v>
      </c>
    </row>
    <row r="55" spans="1:23" s="36" customFormat="1" outlineLevel="1" x14ac:dyDescent="0.25">
      <c r="A55" s="198"/>
      <c r="B55" s="216" t="s">
        <v>93</v>
      </c>
      <c r="C55" s="217"/>
      <c r="D55" s="44">
        <f t="shared" ref="D55:P55" si="48">(D16/D14)</f>
        <v>0.34135722359442372</v>
      </c>
      <c r="E55" s="44">
        <f t="shared" si="48"/>
        <v>0.3365945638252455</v>
      </c>
      <c r="F55" s="44">
        <f t="shared" si="48"/>
        <v>0.34556061695836332</v>
      </c>
      <c r="G55" s="44">
        <f t="shared" si="48"/>
        <v>0.33886027718460832</v>
      </c>
      <c r="H55" s="46">
        <f t="shared" si="48"/>
        <v>0.34048204233727108</v>
      </c>
      <c r="I55" s="44">
        <f t="shared" si="48"/>
        <v>0.34541227402092434</v>
      </c>
      <c r="J55" s="44">
        <f t="shared" si="48"/>
        <v>0.34024882644519583</v>
      </c>
      <c r="K55" s="44">
        <f t="shared" si="48"/>
        <v>0.34792031024256709</v>
      </c>
      <c r="L55" s="44">
        <f t="shared" si="48"/>
        <v>0.34075723830734966</v>
      </c>
      <c r="M55" s="46">
        <f t="shared" si="48"/>
        <v>0.34342855558533497</v>
      </c>
      <c r="N55" s="44">
        <f t="shared" si="48"/>
        <v>0.34179902202342594</v>
      </c>
      <c r="O55" s="44">
        <f t="shared" si="48"/>
        <v>0.33827296604948281</v>
      </c>
      <c r="P55" s="44">
        <f t="shared" si="48"/>
        <v>0.34481871946515813</v>
      </c>
      <c r="Q55" s="50">
        <v>0.32</v>
      </c>
      <c r="R55" s="199">
        <f>(R16/R14)</f>
        <v>0.33646294352698392</v>
      </c>
      <c r="S55" s="50">
        <v>0.34</v>
      </c>
      <c r="T55" s="50">
        <v>0.33600000000000002</v>
      </c>
      <c r="U55" s="50">
        <v>0.34360000000000002</v>
      </c>
      <c r="V55" s="50">
        <f>Q55</f>
        <v>0.32</v>
      </c>
      <c r="W55" s="46">
        <f>(W16/W14)</f>
        <v>0.33510967965712296</v>
      </c>
    </row>
    <row r="56" spans="1:23" s="36" customFormat="1" outlineLevel="1" x14ac:dyDescent="0.25">
      <c r="A56" s="198"/>
      <c r="B56" s="58" t="s">
        <v>94</v>
      </c>
      <c r="C56" s="59"/>
      <c r="D56" s="44">
        <f t="shared" ref="D56:P56" si="49">D17/D14</f>
        <v>0.1825679239753841</v>
      </c>
      <c r="E56" s="44">
        <f t="shared" si="49"/>
        <v>0.16184004553863668</v>
      </c>
      <c r="F56" s="44">
        <f t="shared" si="49"/>
        <v>0.18037241269080156</v>
      </c>
      <c r="G56" s="44">
        <f t="shared" si="49"/>
        <v>0.18590629317924884</v>
      </c>
      <c r="H56" s="46">
        <f t="shared" si="49"/>
        <v>0.17703956235629906</v>
      </c>
      <c r="I56" s="44">
        <f t="shared" si="49"/>
        <v>0.19156612017477051</v>
      </c>
      <c r="J56" s="44">
        <f t="shared" si="49"/>
        <v>0.16426484587860685</v>
      </c>
      <c r="K56" s="44">
        <f t="shared" si="49"/>
        <v>0.18279978708843433</v>
      </c>
      <c r="L56" s="44">
        <f t="shared" si="49"/>
        <v>0.18579895058699181</v>
      </c>
      <c r="M56" s="46">
        <f t="shared" si="49"/>
        <v>0.18033695923403234</v>
      </c>
      <c r="N56" s="44">
        <f t="shared" si="49"/>
        <v>0.18725597968234714</v>
      </c>
      <c r="O56" s="44">
        <f t="shared" si="49"/>
        <v>0.16355912967346542</v>
      </c>
      <c r="P56" s="44">
        <f t="shared" si="49"/>
        <v>0.18153767035227564</v>
      </c>
      <c r="Q56" s="50">
        <v>0.17899999999999999</v>
      </c>
      <c r="R56" s="199"/>
      <c r="S56" s="50">
        <v>0.18438641479258872</v>
      </c>
      <c r="T56" s="50">
        <v>0.1607004258910594</v>
      </c>
      <c r="U56" s="50">
        <v>0.17799999999999999</v>
      </c>
      <c r="V56" s="50">
        <v>0.182</v>
      </c>
      <c r="W56" s="46"/>
    </row>
    <row r="57" spans="1:23" s="36" customFormat="1" outlineLevel="1" x14ac:dyDescent="0.25">
      <c r="A57" s="198"/>
      <c r="B57" s="216" t="s">
        <v>4</v>
      </c>
      <c r="C57" s="217"/>
      <c r="D57" s="44">
        <f t="shared" ref="D57:W57" si="50">D21/D14</f>
        <v>0.14020178339682673</v>
      </c>
      <c r="E57" s="44">
        <f t="shared" si="50"/>
        <v>0.15878041838622456</v>
      </c>
      <c r="F57" s="44">
        <f t="shared" si="50"/>
        <v>0.14704707104611203</v>
      </c>
      <c r="G57" s="44">
        <f t="shared" si="50"/>
        <v>0.13352593895239293</v>
      </c>
      <c r="H57" s="46">
        <f t="shared" si="50"/>
        <v>0.14549472766193611</v>
      </c>
      <c r="I57" s="44">
        <f t="shared" si="50"/>
        <v>0.13552731791397762</v>
      </c>
      <c r="J57" s="44">
        <f t="shared" si="50"/>
        <v>0.16088369497423102</v>
      </c>
      <c r="K57" s="44">
        <f t="shared" si="50"/>
        <v>0.14713709984031634</v>
      </c>
      <c r="L57" s="44">
        <f t="shared" si="50"/>
        <v>0.12751500509607036</v>
      </c>
      <c r="M57" s="46">
        <f t="shared" si="50"/>
        <v>0.14352651959742335</v>
      </c>
      <c r="N57" s="44">
        <f t="shared" si="50"/>
        <v>0.13634812933550661</v>
      </c>
      <c r="O57" s="44">
        <f t="shared" si="50"/>
        <v>0.15876001167353027</v>
      </c>
      <c r="P57" s="44">
        <f t="shared" si="50"/>
        <v>0.14498769422914448</v>
      </c>
      <c r="Q57" s="44">
        <f t="shared" si="50"/>
        <v>0.11789589728373695</v>
      </c>
      <c r="R57" s="199">
        <f t="shared" si="50"/>
        <v>0.14044112772502426</v>
      </c>
      <c r="S57" s="44">
        <f t="shared" si="50"/>
        <v>0.13447408121443244</v>
      </c>
      <c r="T57" s="44">
        <f t="shared" si="50"/>
        <v>0.15674470103793306</v>
      </c>
      <c r="U57" s="44">
        <f t="shared" si="50"/>
        <v>0.14407272902286664</v>
      </c>
      <c r="V57" s="44">
        <f t="shared" si="50"/>
        <v>0.11530337293415745</v>
      </c>
      <c r="W57" s="199">
        <f t="shared" si="50"/>
        <v>0.13860774980794502</v>
      </c>
    </row>
    <row r="58" spans="1:23" s="36" customFormat="1" outlineLevel="1" x14ac:dyDescent="0.25">
      <c r="A58" s="198"/>
      <c r="B58" s="216" t="s">
        <v>2</v>
      </c>
      <c r="C58" s="217"/>
      <c r="D58" s="44">
        <f t="shared" ref="D58:P58" si="51">D27/D26</f>
        <v>0.35199485199485198</v>
      </c>
      <c r="E58" s="44">
        <f t="shared" si="51"/>
        <v>0.36592311343141909</v>
      </c>
      <c r="F58" s="44">
        <f t="shared" si="51"/>
        <v>0.36935624817943491</v>
      </c>
      <c r="G58" s="44">
        <f t="shared" si="51"/>
        <v>0.39551478083588176</v>
      </c>
      <c r="H58" s="46">
        <f t="shared" si="51"/>
        <v>0.36998101912687986</v>
      </c>
      <c r="I58" s="44">
        <f t="shared" si="51"/>
        <v>0.23488224061107574</v>
      </c>
      <c r="J58" s="44">
        <f t="shared" si="51"/>
        <v>0.24683136412459722</v>
      </c>
      <c r="K58" s="44">
        <f t="shared" si="51"/>
        <v>0.21365880416895228</v>
      </c>
      <c r="L58" s="44">
        <f t="shared" si="51"/>
        <v>0.24702858978477352</v>
      </c>
      <c r="M58" s="46">
        <f t="shared" si="51"/>
        <v>0.23598516075845014</v>
      </c>
      <c r="N58" s="44">
        <f t="shared" si="51"/>
        <v>0.24398315282791816</v>
      </c>
      <c r="O58" s="44">
        <f t="shared" si="51"/>
        <v>0.24582701062215478</v>
      </c>
      <c r="P58" s="44">
        <f t="shared" si="51"/>
        <v>0.24488682847013907</v>
      </c>
      <c r="Q58" s="50">
        <v>0.255</v>
      </c>
      <c r="R58" s="199">
        <f>R27/R26</f>
        <v>0.24691887093953724</v>
      </c>
      <c r="S58" s="50">
        <v>0.25</v>
      </c>
      <c r="T58" s="50">
        <v>0.25</v>
      </c>
      <c r="U58" s="50">
        <v>0.25</v>
      </c>
      <c r="V58" s="50">
        <v>0.25</v>
      </c>
      <c r="W58" s="46">
        <f>W27/W26</f>
        <v>0.25000000000000006</v>
      </c>
    </row>
    <row r="59" spans="1:23" s="36" customFormat="1" hidden="1" outlineLevel="1" x14ac:dyDescent="0.25">
      <c r="A59" s="198"/>
      <c r="B59" s="216"/>
      <c r="C59" s="217"/>
      <c r="D59" s="44"/>
      <c r="E59" s="44"/>
      <c r="F59" s="44"/>
      <c r="G59" s="44"/>
      <c r="H59" s="46"/>
      <c r="I59" s="44"/>
      <c r="J59" s="44"/>
      <c r="K59" s="44"/>
      <c r="L59" s="44"/>
      <c r="M59" s="46"/>
      <c r="N59" s="44"/>
      <c r="O59" s="44"/>
      <c r="P59" s="44"/>
      <c r="Q59" s="50"/>
      <c r="R59" s="46"/>
      <c r="S59" s="50"/>
      <c r="T59" s="50"/>
      <c r="U59" s="50"/>
      <c r="V59" s="50"/>
      <c r="W59" s="46"/>
    </row>
    <row r="60" spans="1:23" s="36" customFormat="1" hidden="1" outlineLevel="1" x14ac:dyDescent="0.25">
      <c r="A60" s="198"/>
      <c r="B60" s="216"/>
      <c r="C60" s="217"/>
      <c r="D60" s="44"/>
      <c r="E60" s="44"/>
      <c r="F60" s="44"/>
      <c r="G60" s="44"/>
      <c r="H60" s="46"/>
      <c r="I60" s="44"/>
      <c r="J60" s="44"/>
      <c r="K60" s="44"/>
      <c r="L60" s="44"/>
      <c r="M60" s="46"/>
      <c r="N60" s="44"/>
      <c r="O60" s="44"/>
      <c r="P60" s="44"/>
      <c r="Q60" s="50"/>
      <c r="R60" s="46"/>
      <c r="S60" s="50"/>
      <c r="T60" s="50"/>
      <c r="U60" s="50"/>
      <c r="V60" s="50"/>
      <c r="W60" s="46"/>
    </row>
    <row r="61" spans="1:23" ht="18" x14ac:dyDescent="0.4">
      <c r="A61" s="191"/>
      <c r="B61" s="218" t="s">
        <v>57</v>
      </c>
      <c r="C61" s="219"/>
      <c r="D61" s="24" t="s">
        <v>39</v>
      </c>
      <c r="E61" s="24" t="s">
        <v>40</v>
      </c>
      <c r="F61" s="24" t="s">
        <v>41</v>
      </c>
      <c r="G61" s="24" t="s">
        <v>42</v>
      </c>
      <c r="H61" s="67" t="s">
        <v>43</v>
      </c>
      <c r="I61" s="24" t="s">
        <v>44</v>
      </c>
      <c r="J61" s="24" t="s">
        <v>45</v>
      </c>
      <c r="K61" s="24" t="s">
        <v>46</v>
      </c>
      <c r="L61" s="24" t="s">
        <v>47</v>
      </c>
      <c r="M61" s="67" t="s">
        <v>48</v>
      </c>
      <c r="N61" s="24" t="s">
        <v>49</v>
      </c>
      <c r="O61" s="24" t="s">
        <v>125</v>
      </c>
      <c r="P61" s="24" t="s">
        <v>126</v>
      </c>
      <c r="Q61" s="22" t="s">
        <v>118</v>
      </c>
      <c r="R61" s="69" t="s">
        <v>119</v>
      </c>
      <c r="S61" s="22" t="s">
        <v>120</v>
      </c>
      <c r="T61" s="22" t="s">
        <v>121</v>
      </c>
      <c r="U61" s="22" t="s">
        <v>122</v>
      </c>
      <c r="V61" s="22" t="s">
        <v>123</v>
      </c>
      <c r="W61" s="69" t="s">
        <v>124</v>
      </c>
    </row>
    <row r="62" spans="1:23" outlineLevel="1" x14ac:dyDescent="0.25">
      <c r="A62" s="191"/>
      <c r="B62" s="216" t="s">
        <v>11</v>
      </c>
      <c r="C62" s="217"/>
      <c r="D62" s="44"/>
      <c r="E62" s="44">
        <f>(E29+E66)/D29-1</f>
        <v>1.9232420701167374E-3</v>
      </c>
      <c r="F62" s="44">
        <f>(F29+F66)/E29-1</f>
        <v>-2.2148960270498286E-3</v>
      </c>
      <c r="G62" s="44">
        <f>(G29+G66)/F29-1</f>
        <v>2.9832482876712696E-3</v>
      </c>
      <c r="H62" s="45"/>
      <c r="I62" s="44">
        <f>(I29+I66)/G29-1</f>
        <v>-2.6076879310344969E-3</v>
      </c>
      <c r="J62" s="44">
        <f>(J29+J66)/I29-1</f>
        <v>1.8793888888888333E-3</v>
      </c>
      <c r="K62" s="44">
        <f>(K29+K66)/J29-1</f>
        <v>4.0584090909090431E-3</v>
      </c>
      <c r="L62" s="44">
        <f>(L29+L66)/K29-1</f>
        <v>6.0039444933919217E-3</v>
      </c>
      <c r="M62" s="21"/>
      <c r="N62" s="44">
        <f>(N29+N66)/L29-1</f>
        <v>-7.1398028673835823E-3</v>
      </c>
      <c r="O62" s="44">
        <f>(O29+O66)/N29-1</f>
        <v>1.4484105358780752E-4</v>
      </c>
      <c r="P62" s="44">
        <f>(P29+P66)/O29-1</f>
        <v>-7.4399817351589181E-4</v>
      </c>
      <c r="Q62" s="50">
        <f t="shared" ref="Q62:Q63" si="52">AVERAGE(L62,N62,O62,P62)</f>
        <v>-4.3375387347993621E-4</v>
      </c>
      <c r="R62" s="21"/>
      <c r="S62" s="50">
        <f t="shared" ref="S62:S63" si="53">AVERAGE(N62,O62,P62,Q62)</f>
        <v>-2.0431784651979007E-3</v>
      </c>
      <c r="T62" s="50">
        <f t="shared" ref="T62:T63" si="54">AVERAGE(O62,P62,Q62,S62)</f>
        <v>-7.690223646514803E-4</v>
      </c>
      <c r="U62" s="50">
        <f t="shared" ref="U62:U63" si="55">AVERAGE(P62,Q62,S62,T62)</f>
        <v>-9.9748821921130226E-4</v>
      </c>
      <c r="V62" s="50">
        <f t="shared" ref="V62:V63" si="56">AVERAGE(Q62,S62,T62,U62)</f>
        <v>-1.0608607306351549E-3</v>
      </c>
      <c r="W62" s="21"/>
    </row>
    <row r="63" spans="1:23" outlineLevel="1" x14ac:dyDescent="0.25">
      <c r="A63" s="191"/>
      <c r="B63" s="216" t="s">
        <v>12</v>
      </c>
      <c r="C63" s="217"/>
      <c r="D63" s="44"/>
      <c r="E63" s="44">
        <f>(E30+E66)/D30-1</f>
        <v>1.9136578073088995E-3</v>
      </c>
      <c r="F63" s="44">
        <f>(F30+F66)/E30-1</f>
        <v>-2.203719091673717E-3</v>
      </c>
      <c r="G63" s="44">
        <f>(G30+G66)/F30-1</f>
        <v>3.8197904599659438E-3</v>
      </c>
      <c r="H63" s="45"/>
      <c r="I63" s="44">
        <f>(I30+I66)/G30-1</f>
        <v>-3.4489443016281207E-3</v>
      </c>
      <c r="J63" s="44">
        <f>(J30+J66)/I30-1</f>
        <v>1.0060932642488307E-3</v>
      </c>
      <c r="K63" s="44">
        <f>(K30+K66)/J30-1</f>
        <v>4.911070496083525E-3</v>
      </c>
      <c r="L63" s="44">
        <f>(L30+L66)/K30-1</f>
        <v>5.0959482909727072E-3</v>
      </c>
      <c r="M63" s="21"/>
      <c r="N63" s="44">
        <f>(N30+N66)/L30-1</f>
        <v>-7.1079571810883646E-3</v>
      </c>
      <c r="O63" s="44">
        <f>(O30+O66)/N30-1</f>
        <v>-7.5997287522600043E-4</v>
      </c>
      <c r="P63" s="44">
        <f>(P30+P66)/O30-1</f>
        <v>1.6862784349402915E-4</v>
      </c>
      <c r="Q63" s="50">
        <f t="shared" si="52"/>
        <v>-6.5083848046190718E-4</v>
      </c>
      <c r="R63" s="18"/>
      <c r="S63" s="50">
        <f t="shared" si="53"/>
        <v>-2.0875351733205608E-3</v>
      </c>
      <c r="T63" s="50">
        <f t="shared" si="54"/>
        <v>-8.3242967137860981E-4</v>
      </c>
      <c r="U63" s="50">
        <f t="shared" si="55"/>
        <v>-8.5054387041676215E-4</v>
      </c>
      <c r="V63" s="50">
        <f t="shared" si="56"/>
        <v>-1.1053367988944599E-3</v>
      </c>
      <c r="W63" s="21"/>
    </row>
    <row r="64" spans="1:23" outlineLevel="1" x14ac:dyDescent="0.25">
      <c r="A64" s="191"/>
      <c r="B64" s="216" t="s">
        <v>5</v>
      </c>
      <c r="C64" s="217"/>
      <c r="D64" s="51">
        <v>147.72</v>
      </c>
      <c r="E64" s="51">
        <v>152.74</v>
      </c>
      <c r="F64" s="51">
        <v>154.91</v>
      </c>
      <c r="G64" s="51">
        <v>192</v>
      </c>
      <c r="H64" s="54"/>
      <c r="I64" s="51">
        <v>178.82</v>
      </c>
      <c r="J64" s="51">
        <v>185.52</v>
      </c>
      <c r="K64" s="51">
        <v>198.48</v>
      </c>
      <c r="L64" s="189">
        <v>174.78</v>
      </c>
      <c r="M64" s="54"/>
      <c r="N64" s="189">
        <v>191.75</v>
      </c>
      <c r="O64" s="51">
        <v>203.43</v>
      </c>
      <c r="P64" s="189">
        <v>222.49</v>
      </c>
      <c r="Q64" s="53">
        <f>+P64</f>
        <v>222.49</v>
      </c>
      <c r="R64" s="52"/>
      <c r="S64" s="53">
        <f>+Q64</f>
        <v>222.49</v>
      </c>
      <c r="T64" s="53">
        <f>+S64</f>
        <v>222.49</v>
      </c>
      <c r="U64" s="53">
        <f>+T64</f>
        <v>222.49</v>
      </c>
      <c r="V64" s="53">
        <f>+U64</f>
        <v>222.49</v>
      </c>
      <c r="W64" s="52"/>
    </row>
    <row r="65" spans="1:23" outlineLevel="1" x14ac:dyDescent="0.25">
      <c r="A65" s="191"/>
      <c r="B65" s="216" t="s">
        <v>6</v>
      </c>
      <c r="C65" s="217"/>
      <c r="D65" s="26">
        <v>1361.36344164</v>
      </c>
      <c r="E65" s="26">
        <v>2643.0196805600003</v>
      </c>
      <c r="F65" s="26">
        <v>1917.7514099799998</v>
      </c>
      <c r="G65" s="26">
        <v>2205.011328</v>
      </c>
      <c r="H65" s="27">
        <f>SUM(D65:G65)</f>
        <v>8127.1458601800005</v>
      </c>
      <c r="I65" s="26">
        <v>889.64416323999978</v>
      </c>
      <c r="J65" s="26">
        <v>1885.8211891199999</v>
      </c>
      <c r="K65" s="26">
        <v>2707.8269135999999</v>
      </c>
      <c r="L65" s="183">
        <v>4511.8542900599996</v>
      </c>
      <c r="M65" s="27">
        <f>SUM(I65:L65)</f>
        <v>9995.1465560199977</v>
      </c>
      <c r="N65" s="183">
        <v>1348.3821649999998</v>
      </c>
      <c r="O65" s="26">
        <v>1253.0209820999999</v>
      </c>
      <c r="P65" s="183">
        <v>1153.6822917800002</v>
      </c>
      <c r="Q65" s="49">
        <v>1200</v>
      </c>
      <c r="R65" s="203">
        <f>+SUM(N65:Q65)</f>
        <v>4955.0854388799999</v>
      </c>
      <c r="S65" s="49">
        <v>500</v>
      </c>
      <c r="T65" s="49">
        <v>500</v>
      </c>
      <c r="U65" s="49">
        <v>500</v>
      </c>
      <c r="V65" s="49">
        <v>500</v>
      </c>
      <c r="W65" s="27">
        <f>+SUM(S65:V65)</f>
        <v>2000</v>
      </c>
    </row>
    <row r="66" spans="1:23" outlineLevel="1" x14ac:dyDescent="0.25">
      <c r="A66" s="191"/>
      <c r="B66" s="214" t="s">
        <v>16</v>
      </c>
      <c r="C66" s="215"/>
      <c r="D66" s="55">
        <f>IF((D65)&gt;0,(D65/D64),0)</f>
        <v>9.2158370000000005</v>
      </c>
      <c r="E66" s="55">
        <f>IF((E65)&gt;0,(E65/E64),0)</f>
        <v>17.304044000000001</v>
      </c>
      <c r="F66" s="55">
        <f>IF((F65)&gt;0,(F65/F64),0)</f>
        <v>12.379778</v>
      </c>
      <c r="G66" s="55">
        <f>IF((G65)&gt;0,(G65/G64),0)</f>
        <v>11.484434</v>
      </c>
      <c r="H66" s="108">
        <f>+SUM(D66:G66)</f>
        <v>50.384093</v>
      </c>
      <c r="I66" s="55">
        <f>IF((I65)&gt;0,(I65/I64),0)</f>
        <v>4.9750819999999987</v>
      </c>
      <c r="J66" s="55">
        <f>IF((J65)&gt;0,(J65/J64),0)</f>
        <v>10.165055999999998</v>
      </c>
      <c r="K66" s="55">
        <f>IF((K65)&gt;0,(K65/K64),0)</f>
        <v>13.64282</v>
      </c>
      <c r="L66" s="190">
        <f>IF((L65)&gt;0,(L65/L64),0)</f>
        <v>25.814476999999997</v>
      </c>
      <c r="M66" s="108">
        <f>+SUM(I66:L66)</f>
        <v>54.59743499999999</v>
      </c>
      <c r="N66" s="190">
        <f>IF((N65)&gt;0,(N65/N64),0)</f>
        <v>7.031979999999999</v>
      </c>
      <c r="O66" s="55">
        <f>IF((O65)&gt;0,(O65/O64),0)</f>
        <v>6.1594699999999989</v>
      </c>
      <c r="P66" s="55">
        <f>IF((P65)&gt;0,(P65/P64),0)</f>
        <v>5.1853220000000011</v>
      </c>
      <c r="Q66" s="55">
        <f>IF((Q65)&gt;0,(Q65/Q64),0)</f>
        <v>5.393500831498045</v>
      </c>
      <c r="R66" s="108">
        <f>+SUM(N66:Q66)</f>
        <v>23.770272831498044</v>
      </c>
      <c r="S66" s="55">
        <f>IF((S65)&gt;0,(S65/S64),0)</f>
        <v>2.2472920131241851</v>
      </c>
      <c r="T66" s="55">
        <f>IF((T65)&gt;0,(T65/T64),0)</f>
        <v>2.2472920131241851</v>
      </c>
      <c r="U66" s="55">
        <f>IF((U65)&gt;0,(U65/U64),0)</f>
        <v>2.2472920131241851</v>
      </c>
      <c r="V66" s="55">
        <f>IF((V65)&gt;0,(V65/V64),0)</f>
        <v>2.2472920131241851</v>
      </c>
      <c r="W66" s="108">
        <f>+SUM(S66:V66)</f>
        <v>8.9891680524967406</v>
      </c>
    </row>
    <row r="67" spans="1:23" x14ac:dyDescent="0.25">
      <c r="B67" s="19"/>
      <c r="C67" s="19"/>
      <c r="E67" s="70"/>
      <c r="F67" s="70"/>
      <c r="G67" s="70"/>
      <c r="H67" s="70"/>
      <c r="I67" s="70"/>
      <c r="J67" s="70"/>
      <c r="K67" s="70"/>
      <c r="L67" s="70"/>
      <c r="M67" s="70"/>
      <c r="N67" s="146"/>
      <c r="P67" s="3"/>
      <c r="Q67" s="3"/>
      <c r="R67" s="70"/>
      <c r="U67" s="3"/>
      <c r="V67" s="3"/>
      <c r="W67" s="70"/>
    </row>
  </sheetData>
  <dataConsolidate/>
  <mergeCells count="34">
    <mergeCell ref="A12:A13"/>
    <mergeCell ref="B63:C63"/>
    <mergeCell ref="B62:C62"/>
    <mergeCell ref="B58:C58"/>
    <mergeCell ref="B60:C60"/>
    <mergeCell ref="B52:C52"/>
    <mergeCell ref="B27:C27"/>
    <mergeCell ref="B26:C26"/>
    <mergeCell ref="B15:C15"/>
    <mergeCell ref="B12:C12"/>
    <mergeCell ref="B36:C36"/>
    <mergeCell ref="B57:C57"/>
    <mergeCell ref="B37:C37"/>
    <mergeCell ref="B35:C35"/>
    <mergeCell ref="B42:C42"/>
    <mergeCell ref="B2:C2"/>
    <mergeCell ref="B59:C59"/>
    <mergeCell ref="B25:C25"/>
    <mergeCell ref="B3:C3"/>
    <mergeCell ref="B4:C4"/>
    <mergeCell ref="B5:C5"/>
    <mergeCell ref="B13:C13"/>
    <mergeCell ref="B32:C32"/>
    <mergeCell ref="B31:C31"/>
    <mergeCell ref="B30:C30"/>
    <mergeCell ref="B29:C29"/>
    <mergeCell ref="B28:C28"/>
    <mergeCell ref="B14:C14"/>
    <mergeCell ref="B66:C66"/>
    <mergeCell ref="B65:C65"/>
    <mergeCell ref="B54:C54"/>
    <mergeCell ref="B55:C55"/>
    <mergeCell ref="B61:C61"/>
    <mergeCell ref="B64:C64"/>
  </mergeCells>
  <pageMargins left="0.7" right="0.7" top="0.75" bottom="0.75" header="0.3" footer="0.3"/>
  <pageSetup scale="16" orientation="landscape" r:id="rId1"/>
  <headerFooter>
    <oddFooter>&amp;CGutenberg Research LLC prohibits the redistribution of this document in whole or part without the written permission. 
© Gutenberg Research LLC 2019.</oddFooter>
  </headerFooter>
  <rowBreaks count="1" manualBreakCount="1">
    <brk id="66"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G3" sqref="G3"/>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79" t="s">
        <v>128</v>
      </c>
    </row>
    <row r="2" spans="2:14" x14ac:dyDescent="0.25">
      <c r="B2" s="79"/>
    </row>
    <row r="3" spans="2:14" x14ac:dyDescent="0.25">
      <c r="B3" s="7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39"/>
      <c r="I7" s="239"/>
      <c r="J7" s="239"/>
      <c r="K7" s="239"/>
      <c r="L7" s="239"/>
      <c r="M7" s="239"/>
      <c r="N7" s="239"/>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7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79"/>
    </row>
    <row r="41" spans="2:2" x14ac:dyDescent="0.25">
      <c r="B41" s="79"/>
    </row>
  </sheetData>
  <mergeCells count="1">
    <mergeCell ref="H7:N7"/>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K22"/>
  <sheetViews>
    <sheetView showGridLines="0" workbookViewId="0">
      <selection activeCell="K31" sqref="K31"/>
    </sheetView>
  </sheetViews>
  <sheetFormatPr defaultRowHeight="15" x14ac:dyDescent="0.25"/>
  <cols>
    <col min="1" max="1" width="1.28515625" customWidth="1"/>
    <col min="2" max="2" width="12.28515625" customWidth="1"/>
    <col min="8" max="8" width="15.28515625" bestFit="1" customWidth="1"/>
    <col min="11" max="11" width="9.5703125" bestFit="1" customWidth="1"/>
  </cols>
  <sheetData>
    <row r="1" spans="2:11" x14ac:dyDescent="0.25">
      <c r="B1" s="208" t="s">
        <v>127</v>
      </c>
      <c r="C1" s="208"/>
    </row>
    <row r="2" spans="2:11" x14ac:dyDescent="0.25">
      <c r="B2" t="s">
        <v>19</v>
      </c>
    </row>
    <row r="3" spans="2:11" ht="45" x14ac:dyDescent="0.25">
      <c r="B3" s="80" t="s">
        <v>20</v>
      </c>
      <c r="C3" s="80" t="s">
        <v>21</v>
      </c>
      <c r="D3" s="80" t="s">
        <v>22</v>
      </c>
      <c r="E3" s="80" t="s">
        <v>23</v>
      </c>
      <c r="F3" s="80" t="s">
        <v>24</v>
      </c>
      <c r="G3" s="80" t="s">
        <v>35</v>
      </c>
      <c r="H3" s="80" t="s">
        <v>25</v>
      </c>
      <c r="I3" s="80" t="s">
        <v>26</v>
      </c>
      <c r="J3" s="80" t="s">
        <v>27</v>
      </c>
      <c r="K3" s="80" t="s">
        <v>28</v>
      </c>
    </row>
    <row r="4" spans="2:11" x14ac:dyDescent="0.25">
      <c r="B4" s="107">
        <v>43466</v>
      </c>
      <c r="C4" s="89">
        <v>169.71000699999999</v>
      </c>
      <c r="D4" s="89">
        <v>184.66999799999999</v>
      </c>
      <c r="E4" s="89">
        <v>168.21000699999999</v>
      </c>
      <c r="F4" s="89">
        <v>183.529999</v>
      </c>
      <c r="G4" s="89">
        <v>178.66381799999999</v>
      </c>
      <c r="H4" s="112">
        <v>98771800</v>
      </c>
      <c r="I4" s="113"/>
      <c r="J4" s="114"/>
      <c r="K4" s="90"/>
    </row>
    <row r="5" spans="2:11" x14ac:dyDescent="0.25">
      <c r="B5" s="84">
        <v>43497</v>
      </c>
      <c r="C5">
        <v>184.029999</v>
      </c>
      <c r="D5">
        <v>193.41999799999999</v>
      </c>
      <c r="E5">
        <v>182.449997</v>
      </c>
      <c r="F5">
        <v>185.13999899999999</v>
      </c>
      <c r="G5">
        <v>180.231155</v>
      </c>
      <c r="H5" s="1">
        <v>90471400</v>
      </c>
      <c r="I5" s="85">
        <f>+G5/G4-1</f>
        <v>8.7725484518639263E-3</v>
      </c>
      <c r="J5" s="86">
        <f t="shared" ref="J5:J16" si="0">I5-$I$17</f>
        <v>-7.5873036664025062E-3</v>
      </c>
      <c r="K5" s="98">
        <f>J5^2</f>
        <v>5.7567176926204915E-5</v>
      </c>
    </row>
    <row r="6" spans="2:11" x14ac:dyDescent="0.25">
      <c r="B6" s="84">
        <v>43525</v>
      </c>
      <c r="C6">
        <v>185.820007</v>
      </c>
      <c r="D6">
        <v>192.19000199999999</v>
      </c>
      <c r="E6">
        <v>179.520004</v>
      </c>
      <c r="F6">
        <v>191.88999899999999</v>
      </c>
      <c r="G6">
        <v>186.80216999999999</v>
      </c>
      <c r="H6" s="1">
        <v>95115500</v>
      </c>
      <c r="I6" s="85">
        <f>+G6/G5-1</f>
        <v>3.6458818676493365E-2</v>
      </c>
      <c r="J6" s="86">
        <f t="shared" si="0"/>
        <v>2.0098966558226933E-2</v>
      </c>
      <c r="K6" s="98">
        <f>J6^2</f>
        <v>4.039684567087246E-4</v>
      </c>
    </row>
    <row r="7" spans="2:11" x14ac:dyDescent="0.25">
      <c r="B7" s="84">
        <v>43556</v>
      </c>
      <c r="C7">
        <v>192.990005</v>
      </c>
      <c r="D7">
        <v>208.300003</v>
      </c>
      <c r="E7">
        <v>192.85000600000001</v>
      </c>
      <c r="F7">
        <v>203.699997</v>
      </c>
      <c r="G7">
        <v>199.77565000000001</v>
      </c>
      <c r="H7" s="1">
        <v>71203800</v>
      </c>
      <c r="I7" s="85">
        <f t="shared" ref="I7:I16" si="1">+G7/G6-1</f>
        <v>6.9450370945905116E-2</v>
      </c>
      <c r="J7" s="86">
        <f t="shared" si="0"/>
        <v>5.3090518827638683E-2</v>
      </c>
      <c r="K7" s="98">
        <f t="shared" ref="K7:K15" si="2">J7^2</f>
        <v>2.8186031893878576E-3</v>
      </c>
    </row>
    <row r="8" spans="2:11" x14ac:dyDescent="0.25">
      <c r="B8" s="84">
        <v>43586</v>
      </c>
      <c r="C8">
        <v>203.199997</v>
      </c>
      <c r="D8">
        <v>203.520004</v>
      </c>
      <c r="E8">
        <v>186.270004</v>
      </c>
      <c r="F8">
        <v>189.85000600000001</v>
      </c>
      <c r="G8">
        <v>186.192474</v>
      </c>
      <c r="H8" s="1">
        <v>94651500</v>
      </c>
      <c r="I8" s="85">
        <f t="shared" si="1"/>
        <v>-6.7992150194480683E-2</v>
      </c>
      <c r="J8" s="86">
        <f t="shared" si="0"/>
        <v>-8.4352002312747115E-2</v>
      </c>
      <c r="K8" s="98">
        <f t="shared" si="2"/>
        <v>7.1152602941696947E-3</v>
      </c>
    </row>
    <row r="9" spans="2:11" x14ac:dyDescent="0.25">
      <c r="B9" s="84">
        <v>43617</v>
      </c>
      <c r="C9">
        <v>189.520004</v>
      </c>
      <c r="D9">
        <v>211.990005</v>
      </c>
      <c r="E9">
        <v>188.75</v>
      </c>
      <c r="F9">
        <v>207.970001</v>
      </c>
      <c r="G9">
        <v>203.963379</v>
      </c>
      <c r="H9" s="1">
        <v>90786400</v>
      </c>
      <c r="I9" s="85">
        <f t="shared" si="1"/>
        <v>9.5443734208075393E-2</v>
      </c>
      <c r="J9" s="86">
        <f t="shared" si="0"/>
        <v>7.908388208980896E-2</v>
      </c>
      <c r="K9" s="98">
        <f t="shared" si="2"/>
        <v>6.254260406394806E-3</v>
      </c>
    </row>
    <row r="10" spans="2:11" x14ac:dyDescent="0.25">
      <c r="B10" s="84">
        <v>43647</v>
      </c>
      <c r="C10">
        <v>209.699997</v>
      </c>
      <c r="D10">
        <v>219.300003</v>
      </c>
      <c r="E10">
        <v>208.16999799999999</v>
      </c>
      <c r="F10">
        <v>213.69000199999999</v>
      </c>
      <c r="G10">
        <v>211.04321300000001</v>
      </c>
      <c r="H10" s="1">
        <v>64169000</v>
      </c>
      <c r="I10" s="85">
        <f t="shared" si="1"/>
        <v>3.4711299816228225E-2</v>
      </c>
      <c r="J10" s="86">
        <f t="shared" si="0"/>
        <v>1.8351447697961792E-2</v>
      </c>
      <c r="K10" s="98">
        <f t="shared" si="2"/>
        <v>3.3677563261102719E-4</v>
      </c>
    </row>
    <row r="11" spans="2:11" x14ac:dyDescent="0.25">
      <c r="B11" s="84">
        <v>43678</v>
      </c>
      <c r="C11">
        <v>214.13999899999999</v>
      </c>
      <c r="D11">
        <v>229.270004</v>
      </c>
      <c r="E11">
        <v>199.050003</v>
      </c>
      <c r="F11">
        <v>227.91000399999999</v>
      </c>
      <c r="G11">
        <v>225.08708200000001</v>
      </c>
      <c r="H11" s="1">
        <v>98962100</v>
      </c>
      <c r="I11" s="85">
        <f t="shared" si="1"/>
        <v>6.6544992375566325E-2</v>
      </c>
      <c r="J11" s="86">
        <f t="shared" si="0"/>
        <v>5.0185140257299893E-2</v>
      </c>
      <c r="K11" s="98">
        <f t="shared" si="2"/>
        <v>2.5185483026448625E-3</v>
      </c>
    </row>
    <row r="12" spans="2:11" x14ac:dyDescent="0.25">
      <c r="B12" s="84">
        <v>43709</v>
      </c>
      <c r="C12">
        <v>226.449997</v>
      </c>
      <c r="D12">
        <v>235.490005</v>
      </c>
      <c r="E12">
        <v>220.66999799999999</v>
      </c>
      <c r="F12">
        <v>232.020004</v>
      </c>
      <c r="G12">
        <v>229.146164</v>
      </c>
      <c r="H12" s="1">
        <v>75292900</v>
      </c>
      <c r="I12" s="85">
        <f t="shared" si="1"/>
        <v>1.8033384963424881E-2</v>
      </c>
      <c r="J12" s="86">
        <f t="shared" si="0"/>
        <v>1.6735328451584486E-3</v>
      </c>
      <c r="K12" s="98">
        <f t="shared" si="2"/>
        <v>2.8007121838241317E-6</v>
      </c>
    </row>
    <row r="13" spans="2:11" x14ac:dyDescent="0.25">
      <c r="B13" s="84">
        <v>43739</v>
      </c>
      <c r="C13">
        <v>233.009995</v>
      </c>
      <c r="D13">
        <v>238.990005</v>
      </c>
      <c r="E13">
        <v>222.11999499999999</v>
      </c>
      <c r="F13">
        <v>234.58000200000001</v>
      </c>
      <c r="G13">
        <v>233.089203</v>
      </c>
      <c r="H13" s="1">
        <v>62598300</v>
      </c>
      <c r="I13" s="85">
        <f t="shared" si="1"/>
        <v>1.7207527855452209E-2</v>
      </c>
      <c r="J13" s="86">
        <f t="shared" si="0"/>
        <v>8.4767573718577682E-4</v>
      </c>
      <c r="K13" s="98">
        <f t="shared" si="2"/>
        <v>7.1855415541345015E-7</v>
      </c>
    </row>
    <row r="14" spans="2:11" x14ac:dyDescent="0.25">
      <c r="B14" s="84">
        <v>43770</v>
      </c>
      <c r="C14">
        <v>236.070007</v>
      </c>
      <c r="D14">
        <v>239.30999800000001</v>
      </c>
      <c r="E14">
        <v>216.88000500000001</v>
      </c>
      <c r="F14">
        <v>220.509995</v>
      </c>
      <c r="G14">
        <v>219.10861199999999</v>
      </c>
      <c r="H14" s="1">
        <v>102466300</v>
      </c>
      <c r="I14" s="85">
        <f t="shared" si="1"/>
        <v>-5.9979573571239175E-2</v>
      </c>
      <c r="J14" s="86">
        <f t="shared" si="0"/>
        <v>-7.6339425689505608E-2</v>
      </c>
      <c r="K14" s="98">
        <f t="shared" si="2"/>
        <v>5.8277079146035488E-3</v>
      </c>
    </row>
    <row r="15" spans="2:11" x14ac:dyDescent="0.25">
      <c r="B15" s="84">
        <v>43800</v>
      </c>
      <c r="C15">
        <v>220.89999399999999</v>
      </c>
      <c r="D15">
        <v>221.19000199999999</v>
      </c>
      <c r="E15">
        <v>210.61000100000001</v>
      </c>
      <c r="F15">
        <v>212.03999300000001</v>
      </c>
      <c r="G15">
        <v>210.69244399999999</v>
      </c>
      <c r="H15" s="1">
        <v>51926100</v>
      </c>
      <c r="I15" s="85">
        <f t="shared" si="1"/>
        <v>-3.8410941145480826E-2</v>
      </c>
      <c r="J15" s="86">
        <f t="shared" si="0"/>
        <v>-5.4770793263747258E-2</v>
      </c>
      <c r="K15" s="98">
        <f t="shared" si="2"/>
        <v>2.999839794740142E-3</v>
      </c>
    </row>
    <row r="16" spans="2:11" x14ac:dyDescent="0.25">
      <c r="B16" s="87">
        <v>43812</v>
      </c>
      <c r="C16" s="83">
        <v>212.11999499999999</v>
      </c>
      <c r="D16" s="83">
        <v>214.229996</v>
      </c>
      <c r="E16" s="83">
        <v>210.66999799999999</v>
      </c>
      <c r="F16" s="83">
        <v>214.08000200000001</v>
      </c>
      <c r="G16" s="83">
        <v>214.08000200000001</v>
      </c>
      <c r="H16" s="115">
        <v>6351911</v>
      </c>
      <c r="I16" s="116">
        <f t="shared" si="1"/>
        <v>1.6078213037388434E-2</v>
      </c>
      <c r="J16" s="88">
        <f t="shared" si="0"/>
        <v>-2.8163908087799894E-4</v>
      </c>
      <c r="K16" s="99">
        <f>J16^2</f>
        <v>7.9320571877804031E-8</v>
      </c>
    </row>
    <row r="17" spans="7:11" x14ac:dyDescent="0.25">
      <c r="G17" s="81"/>
      <c r="H17" s="94" t="s">
        <v>29</v>
      </c>
      <c r="I17" s="111">
        <f>AVERAGE(I5:I16)</f>
        <v>1.6359852118266432E-2</v>
      </c>
      <c r="K17" s="82"/>
    </row>
    <row r="18" spans="7:11" x14ac:dyDescent="0.25">
      <c r="G18" s="81"/>
      <c r="J18" s="91" t="s">
        <v>30</v>
      </c>
      <c r="K18" s="103">
        <f>SUM(K5:K16)</f>
        <v>2.8336129755097986E-2</v>
      </c>
    </row>
    <row r="19" spans="7:11" x14ac:dyDescent="0.25">
      <c r="G19" s="81"/>
      <c r="J19" s="91" t="s">
        <v>31</v>
      </c>
      <c r="K19" s="92">
        <f>K18/12</f>
        <v>2.3613441462581653E-3</v>
      </c>
    </row>
    <row r="20" spans="7:11" x14ac:dyDescent="0.25">
      <c r="G20" s="81"/>
      <c r="I20" s="93"/>
      <c r="J20" s="94" t="s">
        <v>32</v>
      </c>
      <c r="K20" s="95">
        <f>SQRT(K19)</f>
        <v>4.8593663643094101E-2</v>
      </c>
    </row>
    <row r="21" spans="7:11" x14ac:dyDescent="0.25">
      <c r="G21" s="81"/>
      <c r="J21" s="97" t="s">
        <v>33</v>
      </c>
      <c r="K21" s="96">
        <f>_xlfn.STDEV.P(I5:I16)-K20</f>
        <v>0</v>
      </c>
    </row>
    <row r="22" spans="7:11" x14ac:dyDescent="0.25">
      <c r="G22" s="104"/>
      <c r="H22" s="83"/>
      <c r="I22" s="83"/>
      <c r="J22" s="105" t="s">
        <v>34</v>
      </c>
      <c r="K22" s="106">
        <f>ABS(I17)</f>
        <v>1.6359852118266432E-2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Earnings Model</vt:lpstr>
      <vt:lpstr>Charts</vt:lpstr>
      <vt:lpstr>Std Dev</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2020-02-21T00:41:44Z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