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61361981-6368-4FF1-B0D9-292322BABA94}" xr6:coauthVersionLast="45" xr6:coauthVersionMax="45" xr10:uidLastSave="{00000000-0000-0000-0000-000000000000}"/>
  <bookViews>
    <workbookView xWindow="945" yWindow="1710" windowWidth="28605" windowHeight="15630"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9" i="3" l="1"/>
  <c r="Q40" i="3"/>
  <c r="Q42" i="3"/>
  <c r="Q14" i="3"/>
  <c r="R14" i="3"/>
  <c r="R42" i="3"/>
  <c r="M14" i="3"/>
  <c r="M42" i="3"/>
  <c r="R43" i="3"/>
  <c r="P56" i="3"/>
  <c r="N40" i="3"/>
  <c r="O40" i="3"/>
  <c r="P40" i="3"/>
  <c r="R40" i="3"/>
  <c r="M40" i="3"/>
  <c r="R46" i="3"/>
  <c r="Q15" i="3"/>
  <c r="Q16" i="3"/>
  <c r="Q17" i="3"/>
  <c r="Q20" i="3"/>
  <c r="Q21" i="3"/>
  <c r="Q25" i="3"/>
  <c r="Q26" i="3"/>
  <c r="Q27" i="3"/>
  <c r="Q28" i="3"/>
  <c r="L66" i="3"/>
  <c r="L63" i="3"/>
  <c r="N66" i="3"/>
  <c r="N63" i="3"/>
  <c r="O66" i="3"/>
  <c r="O63" i="3"/>
  <c r="P66" i="3"/>
  <c r="P63" i="3"/>
  <c r="Q63" i="3"/>
  <c r="Q64" i="3"/>
  <c r="Q66" i="3"/>
  <c r="Q30" i="3"/>
  <c r="Q32" i="3"/>
  <c r="R15" i="3"/>
  <c r="R16" i="3"/>
  <c r="R17" i="3"/>
  <c r="R18" i="3"/>
  <c r="R19" i="3"/>
  <c r="R20" i="3"/>
  <c r="R21" i="3"/>
  <c r="H14" i="3"/>
  <c r="H15" i="3"/>
  <c r="H16" i="3"/>
  <c r="H17" i="3"/>
  <c r="H18" i="3"/>
  <c r="H19" i="3"/>
  <c r="H20" i="3"/>
  <c r="H21" i="3"/>
  <c r="H22" i="3"/>
  <c r="H23" i="3"/>
  <c r="H24" i="3"/>
  <c r="H25" i="3"/>
  <c r="H26" i="3"/>
  <c r="H27" i="3"/>
  <c r="H28"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R27" i="3"/>
  <c r="R28" i="3"/>
  <c r="Q33" i="3"/>
  <c r="L62" i="3"/>
  <c r="N62" i="3"/>
  <c r="O62" i="3"/>
  <c r="P62" i="3"/>
  <c r="Q62" i="3"/>
  <c r="Q29" i="3"/>
  <c r="I16" i="3"/>
  <c r="I20" i="3"/>
  <c r="I21" i="3"/>
  <c r="I25" i="3"/>
  <c r="I26" i="3"/>
  <c r="I28" i="3"/>
  <c r="J16" i="3"/>
  <c r="J20" i="3"/>
  <c r="J21" i="3"/>
  <c r="J25" i="3"/>
  <c r="J26" i="3"/>
  <c r="J28" i="3"/>
  <c r="K16" i="3"/>
  <c r="K20" i="3"/>
  <c r="K21" i="3"/>
  <c r="K25" i="3"/>
  <c r="K26" i="3"/>
  <c r="K28" i="3"/>
  <c r="L16" i="3"/>
  <c r="L20" i="3"/>
  <c r="L21" i="3"/>
  <c r="L25" i="3"/>
  <c r="L26" i="3"/>
  <c r="L28" i="3"/>
  <c r="S25" i="3"/>
  <c r="S39" i="3"/>
  <c r="S40" i="3"/>
  <c r="S42" i="3"/>
  <c r="S14" i="3"/>
  <c r="S15" i="3"/>
  <c r="S16" i="3"/>
  <c r="S17" i="3"/>
  <c r="S20" i="3"/>
  <c r="S21" i="3"/>
  <c r="S26" i="3"/>
  <c r="S27" i="3"/>
  <c r="S28" i="3"/>
  <c r="S33" i="3"/>
  <c r="S62" i="3"/>
  <c r="S64" i="3"/>
  <c r="S66" i="3"/>
  <c r="S29" i="3"/>
  <c r="T25" i="3"/>
  <c r="T39" i="3"/>
  <c r="T40" i="3"/>
  <c r="P37" i="3"/>
  <c r="P39" i="3"/>
  <c r="P42" i="3"/>
  <c r="P44" i="3"/>
  <c r="P41" i="3"/>
  <c r="O39" i="3"/>
  <c r="O42" i="3"/>
  <c r="O44" i="3"/>
  <c r="O41" i="3"/>
  <c r="T41" i="3"/>
  <c r="T42" i="3"/>
  <c r="T14" i="3"/>
  <c r="T15" i="3"/>
  <c r="T16" i="3"/>
  <c r="T17" i="3"/>
  <c r="T20" i="3"/>
  <c r="T21" i="3"/>
  <c r="T26" i="3"/>
  <c r="T27" i="3"/>
  <c r="T28" i="3"/>
  <c r="T33" i="3"/>
  <c r="T62" i="3"/>
  <c r="T64" i="3"/>
  <c r="T66" i="3"/>
  <c r="T29" i="3"/>
  <c r="U25" i="3"/>
  <c r="U39" i="3"/>
  <c r="U40" i="3"/>
  <c r="U41" i="3"/>
  <c r="U42" i="3"/>
  <c r="U14" i="3"/>
  <c r="U15" i="3"/>
  <c r="U16" i="3"/>
  <c r="U17" i="3"/>
  <c r="U20" i="3"/>
  <c r="U21" i="3"/>
  <c r="U26" i="3"/>
  <c r="U27" i="3"/>
  <c r="U28" i="3"/>
  <c r="U33" i="3"/>
  <c r="U62" i="3"/>
  <c r="U64" i="3"/>
  <c r="U66" i="3"/>
  <c r="U29" i="3"/>
  <c r="W22" i="3"/>
  <c r="W23" i="3"/>
  <c r="W24" i="3"/>
  <c r="W25" i="3"/>
  <c r="Q37" i="3"/>
  <c r="V39" i="3"/>
  <c r="V40" i="3"/>
  <c r="V41" i="3"/>
  <c r="V42" i="3"/>
  <c r="V14" i="3"/>
  <c r="W14"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8" i="3"/>
  <c r="I39" i="3"/>
  <c r="I42" i="3"/>
  <c r="I44" i="3"/>
  <c r="I41" i="3"/>
  <c r="P50" i="3"/>
  <c r="P48" i="3"/>
  <c r="K41" i="3"/>
  <c r="N55" i="3"/>
  <c r="O55" i="3"/>
  <c r="K66" i="3"/>
  <c r="K62" i="3"/>
  <c r="K63" i="3"/>
  <c r="S63" i="3"/>
  <c r="T63" i="3"/>
  <c r="U63" i="3"/>
  <c r="V63" i="3"/>
  <c r="S30" i="3"/>
  <c r="T30" i="3"/>
  <c r="U30" i="3"/>
  <c r="V30" i="3"/>
  <c r="S32" i="3"/>
  <c r="P32" i="3"/>
  <c r="L39" i="3"/>
  <c r="L42" i="3"/>
  <c r="L44" i="3"/>
  <c r="L41" i="3"/>
  <c r="O58" i="3"/>
  <c r="O56" i="3"/>
  <c r="O38" i="3"/>
  <c r="O50" i="3"/>
  <c r="O48" i="3"/>
  <c r="O32" i="3"/>
  <c r="D42" i="3"/>
  <c r="I43" i="3"/>
  <c r="N39" i="3"/>
  <c r="N42" i="3"/>
  <c r="N44" i="3"/>
  <c r="N41"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rgb="FF000000"/>
            <rFont val="Tahoma"/>
            <family val="2"/>
          </rPr>
          <t>F1Q2019 Earnings Call:</t>
        </r>
        <r>
          <rPr>
            <sz val="9"/>
            <color rgb="FF000000"/>
            <rFont val="Tahoma"/>
            <family val="2"/>
          </rPr>
          <t xml:space="preserve"> "Our sales performance came in below our expectations in the quarter, as a result of two factors:
</t>
        </r>
        <r>
          <rPr>
            <sz val="9"/>
            <color rgb="FF000000"/>
            <rFont val="Tahoma"/>
            <family val="2"/>
          </rPr>
          <t xml:space="preserve">First, </t>
        </r>
        <r>
          <rPr>
            <b/>
            <sz val="9"/>
            <color rgb="FF000000"/>
            <rFont val="Tahoma"/>
            <family val="2"/>
          </rPr>
          <t>the month of February was the second wettest on record for the U.S. Second</t>
        </r>
        <r>
          <rPr>
            <sz val="9"/>
            <color rgb="FF000000"/>
            <rFont val="Tahoma"/>
            <family val="2"/>
          </rPr>
          <t>,</t>
        </r>
        <r>
          <rPr>
            <b/>
            <sz val="9"/>
            <color rgb="FF000000"/>
            <rFont val="Tahoma"/>
            <family val="2"/>
          </rPr>
          <t xml:space="preserve"> lumber prices continued to decline in the quarter, resulting in a negative impact to sales growth of approximately $200 million</t>
        </r>
        <r>
          <rPr>
            <sz val="9"/>
            <color rgb="FF000000"/>
            <rFont val="Tahoma"/>
            <family val="2"/>
          </rPr>
          <t>. Looking at our results geographically, all of our U.S. divisions posted positive comps. Two of our 19 U.S. regions posted</t>
        </r>
        <r>
          <rPr>
            <b/>
            <sz val="9"/>
            <color rgb="FF000000"/>
            <rFont val="Tahoma"/>
            <family val="2"/>
          </rPr>
          <t xml:space="preserve"> mid-single-digit negative comps as they faced difficult compares due to hurricane-related sales a year ago</t>
        </r>
        <r>
          <rPr>
            <sz val="9"/>
            <color rgb="FF000000"/>
            <rFont val="Tahoma"/>
            <family val="2"/>
          </rPr>
          <t xml:space="preserve">."
</t>
        </r>
        <r>
          <rPr>
            <sz val="9"/>
            <color rgb="FF000000"/>
            <rFont val="Tahoma"/>
            <family val="2"/>
          </rPr>
          <t xml:space="preserve">"Internationally,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sz val="9"/>
            <color rgb="FF000000"/>
            <rFont val="Tahoma"/>
            <family val="2"/>
          </rPr>
          <t>"</t>
        </r>
        <r>
          <rPr>
            <b/>
            <sz val="9"/>
            <color rgb="FF000000"/>
            <rFont val="Tahoma"/>
            <family val="2"/>
          </rPr>
          <t>Online traffic growth was healthy and first quarter online sales grew 23%</t>
        </r>
        <r>
          <rPr>
            <sz val="9"/>
            <color rgb="FF000000"/>
            <rFont val="Tahoma"/>
            <family val="2"/>
          </rPr>
          <t xml:space="preserve"> from the first quarter of 2018. "
</t>
        </r>
        <r>
          <rPr>
            <sz val="9"/>
            <color rgb="FF000000"/>
            <rFont val="Tahoma"/>
            <family val="2"/>
          </rPr>
          <t>"Versus last year, a</t>
        </r>
        <r>
          <rPr>
            <b/>
            <sz val="9"/>
            <color rgb="FF000000"/>
            <rFont val="Tahoma"/>
            <family val="2"/>
          </rPr>
          <t xml:space="preserve"> stronger U.S. dollar negatively impacted the total sales growth by approximately $76 million</t>
        </r>
        <r>
          <rPr>
            <sz val="9"/>
            <color rgb="FF000000"/>
            <rFont val="Tahoma"/>
            <family val="2"/>
          </rPr>
          <t xml:space="preserve"> or 0.3%." </t>
        </r>
      </text>
    </comment>
    <comment ref="R14" authorId="0" shapeId="0" xr:uid="{6590642B-6807-4E84-AB47-DDD4B493F21D}">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Total sales up 3% YoY, or $111.5B</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 xml:space="preserve">Reaffirmed on the F1Q2019 conference call on 5/21/2019…but:
</t>
        </r>
        <r>
          <rPr>
            <b/>
            <i/>
            <sz val="9"/>
            <color rgb="FF000000"/>
            <rFont val="Tahoma"/>
            <family val="2"/>
          </rPr>
          <t xml:space="preserve">
</t>
        </r>
        <r>
          <rPr>
            <b/>
            <i/>
            <sz val="9"/>
            <color rgb="FF000000"/>
            <rFont val="Tahoma"/>
            <family val="2"/>
          </rPr>
          <t xml:space="preserve">F1Q2019 Earnings Call: </t>
        </r>
        <r>
          <rPr>
            <i/>
            <sz val="9"/>
            <color rgb="FF000000"/>
            <rFont val="Tahoma"/>
            <family val="2"/>
          </rPr>
          <t xml:space="preserve"> "The building blocks of our 2019 plan are in place. Nonetheless, two factors have changed since we put their plan together. </t>
        </r>
        <r>
          <rPr>
            <b/>
            <i/>
            <sz val="9"/>
            <color rgb="FF000000"/>
            <rFont val="Tahoma"/>
            <family val="2"/>
          </rPr>
          <t>First, there was a recent announcement that certain tariffs are increasing to 25%. We are working through the impact of these tariffs and as a result have not included them in today's guidance.</t>
        </r>
        <r>
          <rPr>
            <i/>
            <sz val="9"/>
            <color rgb="FF000000"/>
            <rFont val="Tahoma"/>
            <family val="2"/>
          </rPr>
          <t xml:space="preserve">
</t>
        </r>
        <r>
          <rPr>
            <i/>
            <sz val="9"/>
            <color rgb="FF000000"/>
            <rFont val="Tahoma"/>
            <family val="2"/>
          </rPr>
          <t xml:space="preserve">Second and more immediate, is the significant deflation we are seeing in lumber prices. You will recall that our sales forecasting model does not include commodity price inflation or deflation. </t>
        </r>
        <r>
          <rPr>
            <b/>
            <i/>
            <sz val="9"/>
            <color rgb="FF000000"/>
            <rFont val="Tahoma"/>
            <family val="2"/>
          </rPr>
          <t>If lumber prices remain at today's level, this could hamper our fiscal 2019 sales growth plan by as much as $800 million.</t>
        </r>
        <r>
          <rPr>
            <i/>
            <sz val="9"/>
            <color rgb="FF000000"/>
            <rFont val="Tahoma"/>
            <family val="2"/>
          </rPr>
          <t xml:space="preserve">
</t>
        </r>
        <r>
          <rPr>
            <i/>
            <sz val="9"/>
            <color rgb="FF000000"/>
            <rFont val="Tahoma"/>
            <family val="2"/>
          </rPr>
          <t>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rgb="FF000000"/>
            <rFont val="Tahoma"/>
            <family val="2"/>
          </rPr>
          <t xml:space="preserve">Guidance: </t>
        </r>
        <r>
          <rPr>
            <sz val="9"/>
            <color rgb="FF000000"/>
            <rFont val="Tahoma"/>
            <family val="2"/>
          </rPr>
          <t>Total sales between 3.5% and 4.0% (approximately $114.0B to  $114.6B).</t>
        </r>
        <r>
          <rPr>
            <b/>
            <sz val="9"/>
            <color rgb="FF000000"/>
            <rFont val="Tahoma"/>
            <family val="2"/>
          </rPr>
          <t xml:space="preserve">
</t>
        </r>
        <r>
          <rPr>
            <b/>
            <sz val="9"/>
            <color rgb="FF000000"/>
            <rFont val="Tahoma"/>
            <family val="2"/>
          </rPr>
          <t xml:space="preserve">Source: </t>
        </r>
        <r>
          <rPr>
            <sz val="9"/>
            <color rgb="FF000000"/>
            <rFont val="Tahoma"/>
            <family val="2"/>
          </rPr>
          <t>Investor/Analyst Meeting 12/11/2019</t>
        </r>
        <r>
          <rPr>
            <b/>
            <sz val="9"/>
            <color rgb="FF000000"/>
            <rFont val="Tahoma"/>
            <family val="2"/>
          </rPr>
          <t xml:space="preserve">
</t>
        </r>
        <r>
          <rPr>
            <b/>
            <i/>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Total sales ranging from ~$115 billion to approximately $120 billion
</t>
        </r>
        <r>
          <rPr>
            <b/>
            <i/>
            <sz val="9"/>
            <color rgb="FF000000"/>
            <rFont val="Tahoma"/>
            <family val="2"/>
          </rPr>
          <t>Source:</t>
        </r>
        <r>
          <rPr>
            <i/>
            <sz val="9"/>
            <color rgb="FF000000"/>
            <rFont val="Tahoma"/>
            <family val="2"/>
          </rPr>
          <t xml:space="preserve"> F4Q2018 earnings call, 2/26/2019</t>
        </r>
      </text>
    </comment>
    <comment ref="R18" authorId="0" shapeId="0" xr:uid="{C8AE2DA5-F653-4BCB-BD24-13079DF49164}">
      <text>
        <r>
          <rPr>
            <b/>
            <sz val="9"/>
            <color rgb="FF000000"/>
            <rFont val="Tahoma"/>
            <family val="2"/>
          </rPr>
          <t>Guidance:</t>
        </r>
        <r>
          <rPr>
            <sz val="9"/>
            <color rgb="FF000000"/>
            <rFont val="Tahoma"/>
            <family val="2"/>
          </rPr>
          <t xml:space="preserve"> Depreciation and amortization expense of ~$2.3 billion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R25" authorId="0" shapeId="0" xr:uid="{DC03500A-CFFA-415E-BCC3-C46FCBFEAD8B}">
      <text>
        <r>
          <rPr>
            <b/>
            <sz val="9"/>
            <color rgb="FF000000"/>
            <rFont val="Tahoma"/>
            <family val="2"/>
          </rPr>
          <t>Guidance:</t>
        </r>
        <r>
          <rPr>
            <sz val="9"/>
            <color rgb="FF000000"/>
            <rFont val="Tahoma"/>
            <family val="2"/>
          </rPr>
          <t xml:space="preserve"> Net interest expense of ~$1.2 billion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Q32" authorId="0" shapeId="0" xr:uid="{787EB4D5-9409-4372-90F7-C12B3808896E}">
      <text>
        <r>
          <rPr>
            <sz val="9"/>
            <color rgb="FF000000"/>
            <rFont val="Tahoma"/>
            <family val="2"/>
          </rPr>
          <t>Primary Output: After you adjust the Primary Inputs in the model below, your new earnings forecast will recalculate based on the new assumptions resulting in a new EPS estimate, and theoretical target share price band.</t>
        </r>
      </text>
    </comment>
    <comment ref="R32" authorId="0" shapeId="0" xr:uid="{DF6AC6E6-CF62-4BDB-9DE1-43B44074A433}">
      <text>
        <r>
          <rPr>
            <b/>
            <sz val="9"/>
            <color rgb="FF000000"/>
            <rFont val="Tahoma"/>
            <family val="2"/>
          </rPr>
          <t xml:space="preserve">Guidance: </t>
        </r>
        <r>
          <rPr>
            <sz val="9"/>
            <color rgb="FF000000"/>
            <rFont val="Tahoma"/>
            <family val="2"/>
          </rPr>
          <t>Diluted earnings-per-share growth of approximately 3.1% to $10.03</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Diluted earnings-per-share growth of approximately 3.1% to $10.03</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Guidance:</t>
        </r>
        <r>
          <rPr>
            <i/>
            <sz val="9"/>
            <color rgb="FF000000"/>
            <rFont val="Tahoma"/>
            <family val="2"/>
          </rPr>
          <t xml:space="preserve"> Diluted earnings-per-share growth of approximately 3.1% to $10.03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R38" authorId="0" shapeId="0" xr:uid="{777AB5D6-4EE6-49B5-A6C8-AFAB8D177616}">
      <text>
        <r>
          <rPr>
            <b/>
            <sz val="9"/>
            <color rgb="FF000000"/>
            <rFont val="Tahoma"/>
            <family val="2"/>
          </rPr>
          <t xml:space="preserve">Guidance: </t>
        </r>
        <r>
          <rPr>
            <sz val="9"/>
            <color rgb="FF000000"/>
            <rFont val="Tahoma"/>
            <family val="2"/>
          </rPr>
          <t>Five net new stores</t>
        </r>
        <r>
          <rPr>
            <b/>
            <sz val="9"/>
            <color rgb="FF000000"/>
            <rFont val="Tahoma"/>
            <family val="2"/>
          </rPr>
          <t xml:space="preserve">
</t>
        </r>
        <r>
          <rPr>
            <b/>
            <sz val="9"/>
            <color rgb="FF000000"/>
            <rFont val="Tahoma"/>
            <family val="2"/>
          </rPr>
          <t xml:space="preserve">Source: </t>
        </r>
        <r>
          <rPr>
            <sz val="9"/>
            <color rgb="FF000000"/>
            <rFont val="Tahoma"/>
            <family val="2"/>
          </rPr>
          <t xml:space="preserve">F4Q2018 earnings call, 2/26/2019 </t>
        </r>
      </text>
    </comment>
    <comment ref="I40" authorId="0" shapeId="0" xr:uid="{87181218-F2A4-409B-8805-46DA527D6FC0}">
      <text>
        <r>
          <rPr>
            <sz val="9"/>
            <color rgb="FF000000"/>
            <rFont val="Tahoma"/>
            <family val="2"/>
          </rPr>
          <t xml:space="preserve">Adjusted to calculate the Fiscal 2019 comp store sales calc against 52-weeks in 2018. 
</t>
        </r>
        <r>
          <rPr>
            <b/>
            <sz val="9"/>
            <color rgb="FF000000"/>
            <rFont val="Tahoma"/>
            <family val="2"/>
          </rPr>
          <t>F1Q2019 Earnings Call:</t>
        </r>
        <r>
          <rPr>
            <sz val="9"/>
            <color rgb="FF000000"/>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t>
        </r>
        <r>
          <rPr>
            <sz val="9"/>
            <color rgb="FF000000"/>
            <rFont val="Tahoma"/>
            <family val="2"/>
          </rPr>
          <t>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rgb="FF000000"/>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Sales growth of ~3.3%</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W43" authorId="0" shapeId="0" xr:uid="{EE0B2FFF-F900-4CA5-A33C-7274A7B9BCAA}">
      <text>
        <r>
          <rPr>
            <b/>
            <sz val="9"/>
            <color rgb="FF000000"/>
            <rFont val="Tahoma"/>
            <family val="2"/>
          </rPr>
          <t xml:space="preserve">Guidance: </t>
        </r>
        <r>
          <rPr>
            <sz val="9"/>
            <color rgb="FF000000"/>
            <rFont val="Tahoma"/>
            <family val="2"/>
          </rPr>
          <t xml:space="preserve">Total sales between 3.5% and 4.0% (approximately $114.0B to  $114.6B).
</t>
        </r>
        <r>
          <rPr>
            <b/>
            <sz val="9"/>
            <color rgb="FF000000"/>
            <rFont val="Tahoma"/>
            <family val="2"/>
          </rPr>
          <t xml:space="preserve">Source: </t>
        </r>
        <r>
          <rPr>
            <sz val="9"/>
            <color rgb="FF000000"/>
            <rFont val="Tahoma"/>
            <family val="2"/>
          </rPr>
          <t xml:space="preserve">Investor/Analyst Meeting 12/11/2019
</t>
        </r>
        <r>
          <rPr>
            <sz val="9"/>
            <color rgb="FF000000"/>
            <rFont val="Tahoma"/>
            <family val="2"/>
          </rPr>
          <t xml:space="preserve">
</t>
        </r>
        <r>
          <rPr>
            <i/>
            <sz val="9"/>
            <color rgb="FF000000"/>
            <rFont val="Tahoma"/>
            <family val="2"/>
          </rPr>
          <t xml:space="preserve">Prior Guidance:
</t>
        </r>
        <r>
          <rPr>
            <i/>
            <sz val="9"/>
            <color rgb="FF000000"/>
            <rFont val="Tahoma"/>
            <family val="2"/>
          </rPr>
          <t xml:space="preserve">Guidance: Total sales ranging from ~$115 billion to approximately $120 billion
</t>
        </r>
        <r>
          <rPr>
            <i/>
            <sz val="9"/>
            <color rgb="FF000000"/>
            <rFont val="Tahoma"/>
            <family val="2"/>
          </rPr>
          <t>Source: F4Q2018 earnings call, 2/26/2019</t>
        </r>
      </text>
    </comment>
    <comment ref="N46" authorId="0" shapeId="0" xr:uid="{DA7C9DD2-66A4-4DFB-980B-1757F6D35AAF}">
      <text>
        <r>
          <rPr>
            <b/>
            <sz val="9"/>
            <color rgb="FF000000"/>
            <rFont val="Tahoma"/>
            <family val="2"/>
          </rPr>
          <t>F1Q2019 Earnings Call: "</t>
        </r>
        <r>
          <rPr>
            <sz val="9"/>
            <color rgb="FF000000"/>
            <rFont val="Tahoma"/>
            <family val="2"/>
          </rPr>
          <t xml:space="preserve">In the first quarter, comp average ticket increased 2% and comp transactions increased 5.5%. During the first quarter, </t>
        </r>
        <r>
          <rPr>
            <b/>
            <sz val="9"/>
            <color rgb="FF000000"/>
            <rFont val="Tahoma"/>
            <family val="2"/>
          </rPr>
          <t>we continued to see significant deflationary trends in lumber that began last year.</t>
        </r>
        <r>
          <rPr>
            <sz val="9"/>
            <color rgb="FF000000"/>
            <rFont val="Tahoma"/>
            <family val="2"/>
          </rPr>
          <t xml:space="preserve">
</t>
        </r>
        <r>
          <rPr>
            <sz val="9"/>
            <color rgb="FF000000"/>
            <rFont val="Tahoma"/>
            <family val="2"/>
          </rPr>
          <t xml:space="preserve">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t>
        </r>
        <r>
          <rPr>
            <sz val="9"/>
            <color rgb="FF000000"/>
            <rFont val="Tahoma"/>
            <family val="2"/>
          </rPr>
          <t xml:space="preserve">Without lumber price deflation, our average ticket growth would have been closer to 3%. "
</t>
        </r>
        <r>
          <rPr>
            <sz val="9"/>
            <color rgb="FF000000"/>
            <rFont val="Tahoma"/>
            <family val="2"/>
          </rPr>
          <t xml:space="preserve">
</t>
        </r>
        <r>
          <rPr>
            <sz val="9"/>
            <color rgb="FF000000"/>
            <rFont val="Tahoma"/>
            <family val="2"/>
          </rPr>
          <t>"Second,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rgb="FF000000"/>
            <rFont val="Tahoma"/>
            <family val="2"/>
          </rPr>
          <t xml:space="preserve">Guidance: </t>
        </r>
        <r>
          <rPr>
            <sz val="9"/>
            <color rgb="FF000000"/>
            <rFont val="Tahoma"/>
            <family val="2"/>
          </rPr>
          <t xml:space="preserve">Comp sales growth of approximately 3.5% to 4.0%.
</t>
        </r>
        <r>
          <rPr>
            <b/>
            <sz val="9"/>
            <color rgb="FF000000"/>
            <rFont val="Tahoma"/>
            <family val="2"/>
          </rPr>
          <t>Source:</t>
        </r>
        <r>
          <rPr>
            <sz val="9"/>
            <color rgb="FF000000"/>
            <rFont val="Tahoma"/>
            <family val="2"/>
          </rPr>
          <t xml:space="preserve"> Investor/Analyst Meeting 12/11/2019</t>
        </r>
      </text>
    </comment>
    <comment ref="N55" authorId="0" shapeId="0" xr:uid="{24AB3D13-C325-4E90-934B-DBBEBF0CD9CE}">
      <text>
        <r>
          <rPr>
            <b/>
            <sz val="9"/>
            <color rgb="FF000000"/>
            <rFont val="Tahoma"/>
            <family val="2"/>
          </rPr>
          <t xml:space="preserve">F1Q2019 Earnings Call: </t>
        </r>
        <r>
          <rPr>
            <sz val="9"/>
            <color rgb="FF000000"/>
            <rFont val="Tahoma"/>
            <family val="2"/>
          </rPr>
          <t xml:space="preserve">"In the first quarter, our gross margin was 34.2%, a decrease of 36 basis points from last year. The year-over-year change in our gross margin reflects the following factors.
</t>
        </r>
        <r>
          <rPr>
            <sz val="9"/>
            <color rgb="FF000000"/>
            <rFont val="Tahoma"/>
            <family val="2"/>
          </rPr>
          <t>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rgb="FF000000"/>
            <rFont val="Tahoma"/>
            <family val="2"/>
          </rPr>
          <t xml:space="preserve">
</t>
        </r>
        <r>
          <rPr>
            <sz val="9"/>
            <color rgb="FF000000"/>
            <rFont val="Tahoma"/>
            <family val="2"/>
          </rPr>
          <t xml:space="preserve">
</t>
        </r>
      </text>
    </comment>
    <comment ref="Q55" authorId="0" shapeId="0" xr:uid="{041EC54C-FCAC-4EE2-B8FD-5D568DEB6569}">
      <text>
        <r>
          <rPr>
            <sz val="9"/>
            <color rgb="FF000000"/>
            <rFont val="Tahoma"/>
            <family val="2"/>
          </rPr>
          <t>Primary Input: If you believe the product mix will be favorable increase the gross margin. If you believe higher transportation costs, or changes in international tariffs will adversely impact results, than decrease the gross margin.</t>
        </r>
      </text>
    </comment>
    <comment ref="R55" authorId="0" shapeId="0" xr:uid="{252AD746-EC75-47E5-802D-FACB8F559A4D}">
      <text>
        <r>
          <rPr>
            <b/>
            <sz val="9"/>
            <color rgb="FF000000"/>
            <rFont val="Tahoma"/>
            <family val="2"/>
          </rPr>
          <t>Guidance:</t>
        </r>
        <r>
          <rPr>
            <sz val="9"/>
            <color rgb="FF000000"/>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rgb="FF000000"/>
            <rFont val="Tahoma"/>
            <family val="2"/>
          </rPr>
          <t>Source:</t>
        </r>
        <r>
          <rPr>
            <sz val="9"/>
            <color rgb="FF000000"/>
            <rFont val="Tahoma"/>
            <family val="2"/>
          </rPr>
          <t xml:space="preserve"> 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Gross margin of ~34%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N56" authorId="0" shapeId="0" xr:uid="{B4D77573-BA98-4DAB-8B9C-104294751A0B}">
      <text>
        <r>
          <rPr>
            <b/>
            <sz val="9"/>
            <color rgb="FF000000"/>
            <rFont val="Tahoma"/>
            <family val="2"/>
          </rPr>
          <t>F1Q2019 Earnings Call:</t>
        </r>
        <r>
          <rPr>
            <sz val="9"/>
            <color rgb="FF000000"/>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Q56" authorId="0" shapeId="0" xr:uid="{2783A081-3529-4639-A3AA-3694D569BB9C}">
      <text>
        <r>
          <rPr>
            <sz val="9"/>
            <color rgb="FF000000"/>
            <rFont val="Tahoma"/>
            <family val="2"/>
          </rPr>
          <t>Primary Input: If you believe management will be able to continue the expense control execution than decrease the SG&amp;A rate.</t>
        </r>
      </text>
    </comment>
    <comment ref="R57" authorId="0" shapeId="0" xr:uid="{B363599C-AFF2-4EC1-AF26-B7D11A6EDEB9}">
      <text>
        <r>
          <rPr>
            <b/>
            <sz val="9"/>
            <color rgb="FF000000"/>
            <rFont val="Tahoma"/>
            <family val="2"/>
          </rPr>
          <t>Guidance:</t>
        </r>
        <r>
          <rPr>
            <sz val="9"/>
            <color rgb="FF000000"/>
            <rFont val="Tahoma"/>
            <family val="2"/>
          </rPr>
          <t xml:space="preserve"> Operating margin of ~14.4%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W57" authorId="0" shapeId="0" xr:uid="{D6AFDBC0-B645-487E-9C28-699479A906E9}">
      <text>
        <r>
          <rPr>
            <b/>
            <sz val="9"/>
            <color rgb="FF000000"/>
            <rFont val="Tahoma"/>
            <family val="2"/>
          </rPr>
          <t>Guidance:</t>
        </r>
        <r>
          <rPr>
            <sz val="9"/>
            <color rgb="FF000000"/>
            <rFont val="Tahoma"/>
            <family val="2"/>
          </rPr>
          <t xml:space="preserve"> Operating Margin of approximately 14%.
</t>
        </r>
        <r>
          <rPr>
            <b/>
            <sz val="9"/>
            <color rgb="FF000000"/>
            <rFont val="Tahoma"/>
            <family val="2"/>
          </rPr>
          <t xml:space="preserve">Source: </t>
        </r>
        <r>
          <rPr>
            <sz val="9"/>
            <color rgb="FF000000"/>
            <rFont val="Tahoma"/>
            <family val="2"/>
          </rPr>
          <t>Investor/Analyst Meeting 12/11/2019</t>
        </r>
      </text>
    </comment>
    <comment ref="R58" authorId="0" shapeId="0" xr:uid="{1AC5A6FE-2E7D-4292-8526-475FE5AC6A6E}">
      <text>
        <r>
          <rPr>
            <b/>
            <sz val="9"/>
            <color rgb="FF000000"/>
            <rFont val="Tahoma"/>
            <family val="2"/>
          </rPr>
          <t xml:space="preserve">Guidance: </t>
        </r>
        <r>
          <rPr>
            <sz val="9"/>
            <color rgb="FF000000"/>
            <rFont val="Tahoma"/>
            <family val="2"/>
          </rPr>
          <t>For the year, we now expect our effective tax rate to be approximately 25 percent.</t>
        </r>
        <r>
          <rPr>
            <b/>
            <sz val="9"/>
            <color rgb="FF000000"/>
            <rFont val="Tahoma"/>
            <family val="2"/>
          </rPr>
          <t xml:space="preserve">
</t>
        </r>
        <r>
          <rPr>
            <b/>
            <sz val="9"/>
            <color rgb="FF000000"/>
            <rFont val="Tahoma"/>
            <family val="2"/>
          </rPr>
          <t xml:space="preserve">Source: </t>
        </r>
        <r>
          <rPr>
            <sz val="9"/>
            <color rgb="FF000000"/>
            <rFont val="Tahoma"/>
            <family val="2"/>
          </rPr>
          <t xml:space="preserve">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Tax rate of approximately 25.5%.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R65" authorId="0" shapeId="0" xr:uid="{28F3D4EE-614F-4345-B8A3-1973D3BE300C}">
      <text>
        <r>
          <rPr>
            <b/>
            <sz val="9"/>
            <color rgb="FF000000"/>
            <rFont val="Tahoma"/>
            <family val="2"/>
          </rPr>
          <t xml:space="preserve">Guidance: </t>
        </r>
        <r>
          <rPr>
            <sz val="9"/>
            <color rgb="FF000000"/>
            <rFont val="Tahoma"/>
            <family val="2"/>
          </rPr>
          <t>Share repurchases of ~$5.0 billion</t>
        </r>
        <r>
          <rPr>
            <b/>
            <sz val="9"/>
            <color rgb="FF000000"/>
            <rFont val="Tahoma"/>
            <family val="2"/>
          </rPr>
          <t xml:space="preserve"> 
</t>
        </r>
        <r>
          <rPr>
            <b/>
            <sz val="9"/>
            <color rgb="FF000000"/>
            <rFont val="Tahoma"/>
            <family val="2"/>
          </rPr>
          <t xml:space="preserve">Source: </t>
        </r>
        <r>
          <rPr>
            <sz val="9"/>
            <color rgb="FF000000"/>
            <rFont val="Tahoma"/>
            <family val="2"/>
          </rPr>
          <t>F2Q2019 earnings call, 10/20/2019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Share repurchases of ~$5.0 billion 
</t>
        </r>
        <r>
          <rPr>
            <b/>
            <i/>
            <sz val="9"/>
            <color rgb="FF000000"/>
            <rFont val="Tahoma"/>
            <family val="2"/>
          </rPr>
          <t>Source:</t>
        </r>
        <r>
          <rPr>
            <i/>
            <sz val="9"/>
            <color rgb="FF000000"/>
            <rFont val="Tahoma"/>
            <family val="2"/>
          </rPr>
          <t xml:space="preserve"> F4Q2018 earnings call, 2/26/2019 
</t>
        </r>
        <r>
          <rPr>
            <b/>
            <i/>
            <sz val="9"/>
            <color rgb="FF000000"/>
            <rFont val="Tahoma"/>
            <family val="2"/>
          </rPr>
          <t>Reaffirmed on the F1Q2019 conference call on 5/21/2019</t>
        </r>
      </text>
    </comment>
  </commentList>
</comments>
</file>

<file path=xl/sharedStrings.xml><?xml version="1.0" encoding="utf-8"?>
<sst xmlns="http://schemas.openxmlformats.org/spreadsheetml/2006/main" count="214" uniqueCount="109">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</sst>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sz val="9"/>
      <color rgb="FF000000"/>
      <name val="Tahoma"/>
      <family val="2"/>
    </font>
    <font>
      <sz val="9"/>
      <color rgb="FF000000"/>
      <name val="Tahoma"/>
      <family val="2"/>
    </font>
    <font>
      <b/>
      <i/>
      <sz val="9"/>
      <color rgb="FF000000"/>
      <name val="Tahoma"/>
      <family val="2"/>
    </font>
    <font>
      <i/>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5" applyNumberFormat="0" applyFill="0" applyAlignment="0" applyProtection="0"/>
    <xf numFmtId="0" fontId="10" fillId="0" borderId="16"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4"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7">
      <protection hidden="1"/>
    </xf>
    <xf numFmtId="199" fontId="3" fillId="0" borderId="0" applyFont="0" applyFill="0" applyBorder="0" applyAlignment="0" applyProtection="0"/>
    <xf numFmtId="38" fontId="30" fillId="5" borderId="0" applyNumberFormat="0" applyBorder="0" applyAlignment="0" applyProtection="0"/>
    <xf numFmtId="0" fontId="31" fillId="0" borderId="18"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7">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4"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19" applyNumberFormat="0" applyBorder="0"/>
    <xf numFmtId="204" fontId="14" fillId="0" borderId="0"/>
    <xf numFmtId="0" fontId="44" fillId="8" borderId="20"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1"/>
    <xf numFmtId="0" fontId="46" fillId="0" borderId="0"/>
    <xf numFmtId="0" fontId="20" fillId="0" borderId="0"/>
    <xf numFmtId="0" fontId="37" fillId="0" borderId="0"/>
    <xf numFmtId="37" fontId="47" fillId="0" borderId="17">
      <alignment horizontal="right"/>
      <protection locked="0"/>
    </xf>
    <xf numFmtId="37" fontId="48" fillId="0" borderId="17">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xf numFmtId="0" fontId="3" fillId="0" borderId="0"/>
    <xf numFmtId="0" fontId="3" fillId="0" borderId="0"/>
  </cellStyleXfs>
  <cellXfs count="24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4"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2" fillId="3" borderId="0" xfId="1" quotePrefix="1" applyNumberFormat="1" applyFont="1" applyFill="1" applyAlignment="1">
      <alignment horizontal="right"/>
    </xf>
    <xf numFmtId="164" fontId="55" fillId="2" borderId="2" xfId="1" quotePrefix="1" applyNumberFormat="1" applyFont="1" applyFill="1" applyBorder="1" applyAlignment="1">
      <alignment horizontal="right"/>
    </xf>
    <xf numFmtId="164" fontId="56"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9" fillId="0" borderId="0" xfId="1" applyNumberFormat="1" applyFont="1" applyAlignment="1">
      <alignment horizontal="right"/>
    </xf>
    <xf numFmtId="165" fontId="59" fillId="0" borderId="5" xfId="1" applyNumberFormat="1" applyFont="1" applyBorder="1" applyAlignment="1">
      <alignment horizontal="right"/>
    </xf>
    <xf numFmtId="0" fontId="4" fillId="0" borderId="4" xfId="0" applyFont="1" applyBorder="1"/>
    <xf numFmtId="0" fontId="53" fillId="0" borderId="4" xfId="0" applyFont="1" applyBorder="1"/>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0" fillId="0" borderId="4" xfId="0" applyFont="1" applyBorder="1"/>
    <xf numFmtId="0" fontId="60" fillId="0" borderId="0" xfId="0" applyFont="1"/>
    <xf numFmtId="165" fontId="60" fillId="0" borderId="0" xfId="1" applyNumberFormat="1" applyFont="1" applyAlignment="1">
      <alignment horizontal="right"/>
    </xf>
    <xf numFmtId="165" fontId="60" fillId="0" borderId="5" xfId="1" applyNumberFormat="1" applyFont="1" applyBorder="1" applyAlignment="1">
      <alignment horizontal="right"/>
    </xf>
    <xf numFmtId="0" fontId="59" fillId="0" borderId="0" xfId="0" applyFont="1"/>
    <xf numFmtId="43" fontId="60" fillId="0" borderId="0" xfId="1" applyFont="1" applyAlignment="1">
      <alignment horizontal="right"/>
    </xf>
    <xf numFmtId="43" fontId="60" fillId="0" borderId="5" xfId="1" applyFont="1" applyBorder="1" applyAlignment="1">
      <alignment horizontal="right"/>
    </xf>
    <xf numFmtId="43" fontId="59" fillId="0" borderId="0" xfId="1" applyFont="1" applyAlignment="1">
      <alignment horizontal="right"/>
    </xf>
    <xf numFmtId="0" fontId="59" fillId="0" borderId="0" xfId="0" applyFont="1" applyAlignment="1">
      <alignment horizontal="left"/>
    </xf>
    <xf numFmtId="0" fontId="59" fillId="0" borderId="3" xfId="0" applyFont="1" applyBorder="1" applyAlignment="1">
      <alignment horizontal="left" indent="1"/>
    </xf>
    <xf numFmtId="165" fontId="59" fillId="0" borderId="5" xfId="1" quotePrefix="1" applyNumberFormat="1" applyFont="1" applyBorder="1" applyAlignment="1">
      <alignment horizontal="right"/>
    </xf>
    <xf numFmtId="165" fontId="63" fillId="0" borderId="0" xfId="2" applyNumberFormat="1" applyFont="1" applyAlignment="1">
      <alignment horizontal="right"/>
    </xf>
    <xf numFmtId="166" fontId="59" fillId="0" borderId="0" xfId="2" applyNumberFormat="1" applyFont="1" applyAlignment="1">
      <alignment horizontal="right"/>
    </xf>
    <xf numFmtId="9" fontId="59" fillId="0" borderId="5" xfId="2" applyFont="1" applyBorder="1" applyAlignment="1">
      <alignment horizontal="right"/>
    </xf>
    <xf numFmtId="166" fontId="59" fillId="0" borderId="5" xfId="2" applyNumberFormat="1" applyFont="1" applyBorder="1" applyAlignment="1">
      <alignment horizontal="right"/>
    </xf>
    <xf numFmtId="164" fontId="59" fillId="0" borderId="5" xfId="1" quotePrefix="1" applyNumberFormat="1" applyFont="1" applyBorder="1" applyAlignment="1">
      <alignment horizontal="right"/>
    </xf>
    <xf numFmtId="165" fontId="61" fillId="9" borderId="0" xfId="1" applyNumberFormat="1" applyFont="1" applyFill="1" applyAlignment="1">
      <alignment horizontal="right"/>
    </xf>
    <xf numFmtId="165" fontId="59" fillId="9" borderId="0" xfId="1" applyNumberFormat="1" applyFont="1" applyFill="1" applyAlignment="1">
      <alignment horizontal="right"/>
    </xf>
    <xf numFmtId="166" fontId="59" fillId="9" borderId="0" xfId="2" applyNumberFormat="1" applyFont="1" applyFill="1" applyAlignment="1">
      <alignment horizontal="right"/>
    </xf>
    <xf numFmtId="7" fontId="59" fillId="0" borderId="0" xfId="1" applyNumberFormat="1" applyFont="1" applyAlignment="1">
      <alignment horizontal="right"/>
    </xf>
    <xf numFmtId="7" fontId="4" fillId="0" borderId="5" xfId="1" applyNumberFormat="1" applyFont="1" applyBorder="1" applyAlignment="1">
      <alignment horizontal="right"/>
    </xf>
    <xf numFmtId="7" fontId="59" fillId="9" borderId="0" xfId="1" applyNumberFormat="1" applyFont="1" applyFill="1" applyAlignment="1">
      <alignment horizontal="right"/>
    </xf>
    <xf numFmtId="7" fontId="59" fillId="0" borderId="5" xfId="1" applyNumberFormat="1" applyFont="1" applyBorder="1" applyAlignment="1">
      <alignment horizontal="right"/>
    </xf>
    <xf numFmtId="164" fontId="59" fillId="0" borderId="7" xfId="1" applyNumberFormat="1" applyFont="1" applyBorder="1" applyAlignment="1">
      <alignment horizontal="right"/>
    </xf>
    <xf numFmtId="43" fontId="59" fillId="0" borderId="7" xfId="1" applyFont="1" applyBorder="1" applyAlignment="1">
      <alignment horizontal="right"/>
    </xf>
    <xf numFmtId="0" fontId="4" fillId="0" borderId="4" xfId="0" applyFont="1" applyBorder="1" applyAlignment="1">
      <alignment horizontal="left"/>
    </xf>
    <xf numFmtId="0" fontId="59" fillId="0" borderId="3" xfId="0" applyFont="1" applyBorder="1" applyAlignment="1">
      <alignment horizontal="left"/>
    </xf>
    <xf numFmtId="0" fontId="59" fillId="0" borderId="4" xfId="0" applyFont="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0" fillId="0" borderId="3" xfId="0" applyFont="1" applyBorder="1" applyAlignment="1">
      <alignment horizontal="left"/>
    </xf>
    <xf numFmtId="0" fontId="60" fillId="0" borderId="4" xfId="0" applyFont="1" applyBorder="1" applyAlignment="1">
      <alignment horizontal="left"/>
    </xf>
    <xf numFmtId="0" fontId="59" fillId="0" borderId="3" xfId="0" applyFont="1" applyBorder="1" applyAlignment="1">
      <alignment horizontal="left" indent="2"/>
    </xf>
    <xf numFmtId="166" fontId="59" fillId="0" borderId="5" xfId="2" quotePrefix="1" applyNumberFormat="1" applyFont="1" applyBorder="1" applyAlignment="1">
      <alignment horizontal="right"/>
    </xf>
    <xf numFmtId="164" fontId="55" fillId="2" borderId="33" xfId="1" quotePrefix="1" applyNumberFormat="1" applyFont="1" applyFill="1" applyBorder="1" applyAlignment="1">
      <alignment horizontal="right"/>
    </xf>
    <xf numFmtId="164" fontId="56"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6" fontId="4" fillId="0" borderId="0" xfId="2" applyNumberFormat="1" applyFont="1" applyAlignment="1">
      <alignment horizontal="right"/>
    </xf>
    <xf numFmtId="5" fontId="62" fillId="0" borderId="4" xfId="1" applyNumberFormat="1" applyFont="1" applyBorder="1" applyAlignment="1">
      <alignment horizontal="right"/>
    </xf>
    <xf numFmtId="167" fontId="59" fillId="0" borderId="0" xfId="1" applyNumberFormat="1" applyFont="1" applyAlignment="1">
      <alignment horizontal="right"/>
    </xf>
    <xf numFmtId="5" fontId="60" fillId="0" borderId="4" xfId="1" applyNumberFormat="1" applyFont="1" applyBorder="1" applyAlignment="1">
      <alignment horizontal="right"/>
    </xf>
    <xf numFmtId="0" fontId="60" fillId="0" borderId="1" xfId="0" applyFont="1" applyBorder="1" applyAlignment="1">
      <alignment horizontal="left"/>
    </xf>
    <xf numFmtId="5" fontId="60" fillId="0" borderId="11" xfId="1" applyNumberFormat="1" applyFont="1" applyBorder="1" applyAlignment="1">
      <alignment horizontal="right"/>
    </xf>
    <xf numFmtId="165" fontId="59" fillId="0" borderId="0" xfId="1" applyNumberFormat="1" applyFont="1" applyAlignment="1">
      <alignment horizontal="left"/>
    </xf>
    <xf numFmtId="43" fontId="59" fillId="0" borderId="0" xfId="1" applyFont="1" applyAlignment="1">
      <alignment horizontal="left"/>
    </xf>
    <xf numFmtId="9" fontId="59"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4" fillId="0" borderId="42" xfId="1" applyNumberFormat="1" applyFont="1" applyBorder="1"/>
    <xf numFmtId="0" fontId="64" fillId="0" borderId="0" xfId="0" applyFont="1" applyAlignment="1">
      <alignment horizontal="right"/>
    </xf>
    <xf numFmtId="225" fontId="0" fillId="0" borderId="42" xfId="0" applyNumberFormat="1" applyBorder="1"/>
    <xf numFmtId="225" fontId="0" fillId="0" borderId="40" xfId="0" applyNumberFormat="1" applyBorder="1"/>
    <xf numFmtId="166" fontId="59" fillId="0" borderId="0" xfId="2" applyNumberFormat="1" applyFont="1" applyAlignment="1">
      <alignment horizontal="left"/>
    </xf>
    <xf numFmtId="9" fontId="59" fillId="0" borderId="0" xfId="1" applyNumberFormat="1" applyFont="1" applyAlignment="1">
      <alignment horizontal="left"/>
    </xf>
    <xf numFmtId="10" fontId="59"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59" fillId="0" borderId="8" xfId="1" applyNumberFormat="1" applyFont="1" applyBorder="1" applyAlignment="1">
      <alignment horizontal="right"/>
    </xf>
    <xf numFmtId="43" fontId="60"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59" fillId="0" borderId="4" xfId="0" applyFont="1" applyBorder="1" applyAlignment="1">
      <alignment horizontal="left" indent="1"/>
    </xf>
    <xf numFmtId="0" fontId="59" fillId="0" borderId="3" xfId="0" applyFont="1" applyBorder="1" applyAlignment="1">
      <alignment horizontal="left" indent="3"/>
    </xf>
    <xf numFmtId="0" fontId="60" fillId="0" borderId="3" xfId="0" applyFont="1" applyBorder="1" applyAlignment="1">
      <alignment horizontal="left" indent="4"/>
    </xf>
    <xf numFmtId="165" fontId="53" fillId="0" borderId="5" xfId="1" quotePrefix="1" applyNumberFormat="1" applyFont="1" applyBorder="1" applyAlignment="1">
      <alignment horizontal="right"/>
    </xf>
    <xf numFmtId="164" fontId="53" fillId="0" borderId="5" xfId="1" quotePrefix="1" applyNumberFormat="1" applyFont="1" applyBorder="1" applyAlignment="1">
      <alignment horizontal="right"/>
    </xf>
    <xf numFmtId="0" fontId="66" fillId="0" borderId="0" xfId="0" applyFont="1"/>
    <xf numFmtId="0" fontId="66" fillId="0" borderId="3" xfId="0" applyFont="1" applyBorder="1" applyAlignment="1">
      <alignment horizontal="left"/>
    </xf>
    <xf numFmtId="0" fontId="66" fillId="0" borderId="4" xfId="0" applyFont="1" applyBorder="1" applyAlignment="1">
      <alignment horizontal="left"/>
    </xf>
    <xf numFmtId="165" fontId="66" fillId="0" borderId="0" xfId="1" applyNumberFormat="1" applyFont="1" applyAlignment="1">
      <alignment horizontal="right"/>
    </xf>
    <xf numFmtId="165" fontId="66" fillId="9" borderId="0" xfId="1" applyNumberFormat="1" applyFont="1" applyFill="1" applyAlignment="1">
      <alignment horizontal="right"/>
    </xf>
    <xf numFmtId="165" fontId="66" fillId="0" borderId="5" xfId="1" quotePrefix="1" applyNumberFormat="1" applyFont="1" applyBorder="1" applyAlignment="1">
      <alignment horizontal="right"/>
    </xf>
    <xf numFmtId="0" fontId="66" fillId="0" borderId="3" xfId="0" applyFont="1" applyBorder="1" applyAlignment="1">
      <alignment horizontal="left" indent="2"/>
    </xf>
    <xf numFmtId="0" fontId="66" fillId="0" borderId="4" xfId="0" applyFont="1" applyBorder="1" applyAlignment="1">
      <alignment horizontal="left" indent="1"/>
    </xf>
    <xf numFmtId="164" fontId="66" fillId="0" borderId="0" xfId="1" applyNumberFormat="1" applyFont="1" applyAlignment="1">
      <alignment horizontal="right"/>
    </xf>
    <xf numFmtId="164" fontId="66" fillId="0" borderId="5" xfId="1" quotePrefix="1" applyNumberFormat="1" applyFont="1" applyBorder="1" applyAlignment="1">
      <alignment horizontal="right"/>
    </xf>
    <xf numFmtId="167" fontId="66" fillId="0" borderId="0" xfId="1" applyNumberFormat="1" applyFont="1" applyAlignment="1">
      <alignment horizontal="right"/>
    </xf>
    <xf numFmtId="167" fontId="66" fillId="0" borderId="5" xfId="1" quotePrefix="1" applyNumberFormat="1" applyFont="1" applyBorder="1" applyAlignment="1">
      <alignment horizontal="right"/>
    </xf>
    <xf numFmtId="165" fontId="60" fillId="0" borderId="30" xfId="1" applyNumberFormat="1" applyFont="1" applyBorder="1" applyAlignment="1">
      <alignment horizontal="right"/>
    </xf>
    <xf numFmtId="166" fontId="60" fillId="0" borderId="0" xfId="2" applyNumberFormat="1" applyFont="1" applyAlignment="1">
      <alignment horizontal="right"/>
    </xf>
    <xf numFmtId="0" fontId="67" fillId="0" borderId="0" xfId="0" applyFont="1"/>
    <xf numFmtId="0" fontId="68" fillId="0" borderId="4" xfId="0" applyFont="1" applyBorder="1" applyAlignment="1">
      <alignment horizontal="left"/>
    </xf>
    <xf numFmtId="43" fontId="63" fillId="0" borderId="0" xfId="1" applyFont="1" applyAlignment="1">
      <alignment horizontal="right"/>
    </xf>
    <xf numFmtId="164" fontId="63" fillId="0" borderId="0" xfId="1" applyNumberFormat="1" applyFont="1" applyAlignment="1">
      <alignment horizontal="right"/>
    </xf>
    <xf numFmtId="43" fontId="59" fillId="9" borderId="7" xfId="1" applyFont="1" applyFill="1" applyBorder="1" applyAlignment="1">
      <alignment horizontal="right"/>
    </xf>
    <xf numFmtId="43" fontId="63" fillId="0" borderId="0" xfId="2" applyNumberFormat="1" applyFont="1" applyAlignment="1">
      <alignment horizontal="right"/>
    </xf>
    <xf numFmtId="43" fontId="59" fillId="0" borderId="5" xfId="1" quotePrefix="1" applyFont="1" applyBorder="1" applyAlignment="1">
      <alignment horizontal="right"/>
    </xf>
    <xf numFmtId="0" fontId="62" fillId="0" borderId="4" xfId="0" applyFont="1" applyBorder="1" applyAlignment="1">
      <alignment horizontal="left"/>
    </xf>
    <xf numFmtId="0" fontId="60" fillId="0" borderId="3" xfId="0" applyFont="1" applyBorder="1" applyAlignment="1">
      <alignment horizontal="left" indent="3"/>
    </xf>
    <xf numFmtId="0" fontId="60" fillId="0" borderId="4" xfId="0" applyFont="1" applyBorder="1" applyAlignment="1">
      <alignment horizontal="left" indent="2"/>
    </xf>
    <xf numFmtId="0" fontId="62" fillId="0" borderId="26" xfId="0" applyFont="1" applyBorder="1" applyAlignment="1">
      <alignment horizontal="left"/>
    </xf>
    <xf numFmtId="10" fontId="4" fillId="0" borderId="0" xfId="2" applyNumberFormat="1" applyFont="1" applyAlignment="1">
      <alignment horizontal="right"/>
    </xf>
    <xf numFmtId="166" fontId="60" fillId="0" borderId="5" xfId="2" quotePrefix="1" applyNumberFormat="1" applyFont="1" applyBorder="1" applyAlignment="1">
      <alignment horizontal="right"/>
    </xf>
    <xf numFmtId="165" fontId="52" fillId="0" borderId="0" xfId="1" applyNumberFormat="1" applyFont="1" applyAlignment="1">
      <alignment horizontal="right"/>
    </xf>
    <xf numFmtId="165" fontId="52" fillId="0" borderId="5" xfId="1" applyNumberFormat="1" applyFont="1" applyBorder="1" applyAlignment="1">
      <alignment horizontal="right"/>
    </xf>
    <xf numFmtId="43" fontId="53" fillId="0" borderId="5" xfId="1" quotePrefix="1" applyFont="1" applyBorder="1" applyAlignment="1">
      <alignment horizontal="right"/>
    </xf>
    <xf numFmtId="43" fontId="53" fillId="0" borderId="0" xfId="1" applyFont="1"/>
    <xf numFmtId="165" fontId="60" fillId="0" borderId="5" xfId="1" quotePrefix="1" applyNumberFormat="1" applyFont="1" applyBorder="1" applyAlignment="1">
      <alignment horizontal="right"/>
    </xf>
    <xf numFmtId="0" fontId="60" fillId="0" borderId="25" xfId="0" applyFont="1" applyBorder="1" applyAlignment="1">
      <alignment horizontal="left"/>
    </xf>
    <xf numFmtId="166" fontId="60" fillId="0" borderId="31" xfId="2" applyNumberFormat="1" applyFont="1" applyBorder="1" applyAlignment="1">
      <alignment horizontal="right"/>
    </xf>
    <xf numFmtId="166" fontId="60" fillId="0" borderId="32" xfId="2" quotePrefix="1" applyNumberFormat="1" applyFont="1" applyBorder="1" applyAlignment="1">
      <alignment horizontal="right"/>
    </xf>
    <xf numFmtId="166" fontId="60" fillId="9" borderId="31" xfId="2" applyNumberFormat="1" applyFont="1" applyFill="1" applyBorder="1" applyAlignment="1">
      <alignment horizontal="right"/>
    </xf>
    <xf numFmtId="0" fontId="59" fillId="0" borderId="12" xfId="0" applyFont="1" applyBorder="1" applyAlignment="1">
      <alignment horizontal="left"/>
    </xf>
    <xf numFmtId="0" fontId="62" fillId="0" borderId="13" xfId="0" applyFont="1" applyBorder="1" applyAlignment="1">
      <alignment horizontal="left"/>
    </xf>
    <xf numFmtId="43" fontId="59" fillId="0" borderId="30" xfId="1" applyFont="1" applyBorder="1" applyAlignment="1">
      <alignment horizontal="right"/>
    </xf>
    <xf numFmtId="43" fontId="59" fillId="0" borderId="29" xfId="1" quotePrefix="1" applyFont="1" applyBorder="1" applyAlignment="1">
      <alignment horizontal="right"/>
    </xf>
    <xf numFmtId="165" fontId="53" fillId="0" borderId="29" xfId="1" quotePrefix="1" applyNumberFormat="1" applyFont="1" applyBorder="1" applyAlignment="1">
      <alignment horizontal="right"/>
    </xf>
    <xf numFmtId="164" fontId="66" fillId="9" borderId="0" xfId="1" applyNumberFormat="1" applyFont="1" applyFill="1" applyAlignment="1">
      <alignment horizontal="right"/>
    </xf>
    <xf numFmtId="165" fontId="61" fillId="0" borderId="5" xfId="1" quotePrefix="1" applyNumberFormat="1" applyFont="1" applyBorder="1" applyAlignment="1">
      <alignment horizontal="right"/>
    </xf>
    <xf numFmtId="0" fontId="59" fillId="0" borderId="3" xfId="0" applyFont="1" applyBorder="1" applyAlignment="1">
      <alignment horizontal="left" vertical="top" indent="1"/>
    </xf>
    <xf numFmtId="0" fontId="59" fillId="0" borderId="6" xfId="0" applyFont="1" applyBorder="1" applyAlignment="1">
      <alignment horizontal="left" indent="2"/>
    </xf>
    <xf numFmtId="0" fontId="59" fillId="0" borderId="10" xfId="0" applyFont="1" applyBorder="1" applyAlignment="1">
      <alignment horizontal="left" indent="1"/>
    </xf>
    <xf numFmtId="0" fontId="69" fillId="0" borderId="0" xfId="0" applyFont="1"/>
    <xf numFmtId="165" fontId="59" fillId="0" borderId="0" xfId="1" applyNumberFormat="1" applyFont="1" applyFill="1" applyAlignment="1">
      <alignment horizontal="right"/>
    </xf>
    <xf numFmtId="165" fontId="61" fillId="0" borderId="0" xfId="1" applyNumberFormat="1" applyFont="1" applyFill="1" applyAlignment="1">
      <alignment horizontal="right"/>
    </xf>
    <xf numFmtId="165" fontId="60" fillId="0" borderId="0" xfId="1" applyNumberFormat="1" applyFont="1" applyFill="1" applyAlignment="1">
      <alignment horizontal="right"/>
    </xf>
    <xf numFmtId="165" fontId="52" fillId="0" borderId="0" xfId="1" applyNumberFormat="1" applyFont="1" applyFill="1" applyAlignment="1">
      <alignment horizontal="right"/>
    </xf>
    <xf numFmtId="43" fontId="60" fillId="0" borderId="0" xfId="1" applyFont="1" applyFill="1" applyAlignment="1">
      <alignment horizontal="right"/>
    </xf>
    <xf numFmtId="43" fontId="59" fillId="0" borderId="7" xfId="1" applyFont="1" applyFill="1" applyBorder="1" applyAlignment="1">
      <alignment horizontal="right"/>
    </xf>
    <xf numFmtId="7" fontId="59" fillId="0" borderId="0" xfId="1" applyNumberFormat="1" applyFont="1" applyFill="1" applyAlignment="1">
      <alignment horizontal="right"/>
    </xf>
    <xf numFmtId="164" fontId="59" fillId="0" borderId="7" xfId="1" applyNumberFormat="1" applyFont="1" applyFill="1" applyBorder="1" applyAlignment="1">
      <alignment horizontal="right"/>
    </xf>
    <xf numFmtId="0" fontId="4" fillId="0" borderId="0" xfId="0" applyFont="1" applyFill="1"/>
    <xf numFmtId="164" fontId="59" fillId="0" borderId="0" xfId="1" applyNumberFormat="1" applyFont="1" applyAlignment="1">
      <alignment horizontal="right"/>
    </xf>
    <xf numFmtId="0" fontId="53" fillId="0" borderId="0" xfId="0" applyFont="1" applyFill="1"/>
    <xf numFmtId="166" fontId="60" fillId="0" borderId="32" xfId="2" quotePrefix="1" applyNumberFormat="1" applyFont="1" applyFill="1" applyBorder="1" applyAlignment="1">
      <alignment horizontal="right"/>
    </xf>
    <xf numFmtId="166" fontId="60" fillId="0" borderId="31" xfId="2" applyNumberFormat="1" applyFont="1" applyFill="1" applyBorder="1" applyAlignment="1">
      <alignment horizontal="right"/>
    </xf>
    <xf numFmtId="0" fontId="66" fillId="0" borderId="0" xfId="0" applyFont="1" applyFill="1"/>
    <xf numFmtId="0" fontId="67" fillId="0" borderId="0" xfId="0" applyFont="1" applyFill="1"/>
    <xf numFmtId="0" fontId="59" fillId="0" borderId="0" xfId="0" applyFont="1" applyFill="1"/>
    <xf numFmtId="166" fontId="59" fillId="0" borderId="5" xfId="2" applyNumberFormat="1" applyFont="1" applyFill="1" applyBorder="1" applyAlignment="1">
      <alignment horizontal="right"/>
    </xf>
    <xf numFmtId="9" fontId="60" fillId="0" borderId="0" xfId="2" applyFont="1" applyAlignment="1">
      <alignment horizontal="right"/>
    </xf>
    <xf numFmtId="17" fontId="59" fillId="0" borderId="0" xfId="1" quotePrefix="1" applyNumberFormat="1" applyFont="1" applyFill="1" applyAlignment="1">
      <alignment horizontal="right" wrapText="1"/>
    </xf>
    <xf numFmtId="43" fontId="59" fillId="0" borderId="30" xfId="1" applyNumberFormat="1" applyFont="1" applyBorder="1" applyAlignment="1">
      <alignment horizontal="right"/>
    </xf>
    <xf numFmtId="165" fontId="59" fillId="0" borderId="5" xfId="1" applyNumberFormat="1" applyFont="1" applyFill="1" applyBorder="1" applyAlignment="1">
      <alignment horizontal="right"/>
    </xf>
    <xf numFmtId="165" fontId="52" fillId="0" borderId="5" xfId="1" applyNumberFormat="1" applyFont="1" applyFill="1" applyBorder="1" applyAlignment="1">
      <alignment horizontal="right"/>
    </xf>
    <xf numFmtId="165" fontId="59" fillId="0" borderId="5" xfId="1" quotePrefix="1" applyNumberFormat="1" applyFont="1" applyFill="1" applyBorder="1" applyAlignment="1">
      <alignment horizontal="right"/>
    </xf>
    <xf numFmtId="9" fontId="4" fillId="0" borderId="0" xfId="1" applyNumberFormat="1" applyFont="1" applyFill="1"/>
    <xf numFmtId="5" fontId="60" fillId="0" borderId="26" xfId="1" applyNumberFormat="1" applyFont="1" applyBorder="1" applyAlignment="1">
      <alignment horizontal="right"/>
    </xf>
    <xf numFmtId="0" fontId="0" fillId="0" borderId="0" xfId="0" applyFill="1"/>
    <xf numFmtId="43" fontId="60" fillId="0" borderId="5" xfId="1" applyFont="1" applyFill="1" applyBorder="1" applyAlignment="1">
      <alignment horizontal="right"/>
    </xf>
    <xf numFmtId="43" fontId="59" fillId="0" borderId="0" xfId="1" applyFont="1" applyFill="1" applyAlignment="1">
      <alignment horizontal="right"/>
    </xf>
    <xf numFmtId="43" fontId="65" fillId="0" borderId="0" xfId="1" applyFont="1" applyAlignment="1">
      <alignment horizontal="right"/>
    </xf>
    <xf numFmtId="0" fontId="60" fillId="0" borderId="23" xfId="0" applyFont="1" applyFill="1" applyBorder="1" applyAlignment="1">
      <alignment horizontal="left"/>
    </xf>
    <xf numFmtId="5" fontId="60" fillId="0" borderId="24" xfId="1" applyNumberFormat="1" applyFont="1" applyFill="1" applyBorder="1" applyAlignment="1">
      <alignment horizontal="right"/>
    </xf>
    <xf numFmtId="10" fontId="60" fillId="9" borderId="31" xfId="2" applyNumberFormat="1" applyFont="1" applyFill="1" applyBorder="1" applyAlignment="1">
      <alignment horizontal="right"/>
    </xf>
    <xf numFmtId="10" fontId="59" fillId="9" borderId="0" xfId="2" applyNumberFormat="1" applyFont="1" applyFill="1" applyAlignment="1">
      <alignment horizontal="right"/>
    </xf>
    <xf numFmtId="226" fontId="60" fillId="0" borderId="5" xfId="2" quotePrefix="1" applyNumberFormat="1" applyFont="1" applyFill="1" applyBorder="1" applyAlignment="1">
      <alignment horizontal="right"/>
    </xf>
    <xf numFmtId="166" fontId="60" fillId="0" borderId="0" xfId="2" applyNumberFormat="1" applyFont="1" applyFill="1" applyAlignment="1">
      <alignment horizontal="right"/>
    </xf>
    <xf numFmtId="166" fontId="60" fillId="0" borderId="5" xfId="2" quotePrefix="1" applyNumberFormat="1" applyFont="1" applyFill="1" applyBorder="1" applyAlignment="1">
      <alignment horizontal="right"/>
    </xf>
    <xf numFmtId="164" fontId="4" fillId="0" borderId="0" xfId="1" applyNumberFormat="1" applyFont="1" applyFill="1" applyAlignment="1">
      <alignment horizontal="right"/>
    </xf>
    <xf numFmtId="0" fontId="4" fillId="0" borderId="0" xfId="0" applyFont="1" applyFill="1" applyAlignment="1">
      <alignment horizontal="right"/>
    </xf>
    <xf numFmtId="0" fontId="69" fillId="0" borderId="0" xfId="0" applyFont="1" applyFill="1"/>
    <xf numFmtId="165" fontId="4" fillId="0" borderId="0" xfId="1" applyNumberFormat="1" applyFont="1" applyFill="1" applyAlignment="1">
      <alignment horizontal="right"/>
    </xf>
    <xf numFmtId="43" fontId="4" fillId="0" borderId="0" xfId="1" applyFont="1" applyFill="1" applyAlignment="1">
      <alignment horizontal="right"/>
    </xf>
    <xf numFmtId="0" fontId="58" fillId="0" borderId="4" xfId="0" applyFont="1" applyBorder="1" applyAlignment="1">
      <alignment horizontal="center" wrapText="1"/>
    </xf>
    <xf numFmtId="0" fontId="59" fillId="0" borderId="3" xfId="0" applyFont="1" applyBorder="1" applyAlignment="1">
      <alignment horizontal="left"/>
    </xf>
    <xf numFmtId="0" fontId="59" fillId="0" borderId="4" xfId="0" applyFont="1" applyBorder="1" applyAlignment="1">
      <alignment horizontal="left"/>
    </xf>
    <xf numFmtId="0" fontId="57" fillId="2" borderId="1" xfId="0" applyFont="1" applyFill="1" applyBorder="1" applyAlignment="1">
      <alignment horizontal="left"/>
    </xf>
    <xf numFmtId="0" fontId="57" fillId="2" borderId="11" xfId="0" applyFont="1" applyFill="1" applyBorder="1" applyAlignment="1">
      <alignment horizontal="left"/>
    </xf>
    <xf numFmtId="0" fontId="60" fillId="0" borderId="3" xfId="0" applyFont="1" applyBorder="1" applyAlignment="1">
      <alignment horizontal="left" indent="4"/>
    </xf>
    <xf numFmtId="0" fontId="60" fillId="0" borderId="4" xfId="0" applyFont="1" applyBorder="1" applyAlignment="1">
      <alignment horizontal="left" indent="4"/>
    </xf>
    <xf numFmtId="0" fontId="59" fillId="0" borderId="3" xfId="0" applyFont="1" applyBorder="1" applyAlignment="1">
      <alignment horizontal="left" indent="1"/>
    </xf>
    <xf numFmtId="0" fontId="59" fillId="0" borderId="4" xfId="0" applyFont="1" applyBorder="1" applyAlignment="1">
      <alignment horizontal="left" indent="1"/>
    </xf>
    <xf numFmtId="0" fontId="58" fillId="2" borderId="3" xfId="0" applyFont="1" applyFill="1" applyBorder="1" applyAlignment="1">
      <alignment horizontal="left"/>
    </xf>
    <xf numFmtId="0" fontId="58" fillId="2" borderId="4" xfId="0" applyFont="1" applyFill="1" applyBorder="1" applyAlignment="1">
      <alignment horizontal="left"/>
    </xf>
    <xf numFmtId="0" fontId="60" fillId="0" borderId="3" xfId="0" applyFont="1" applyBorder="1" applyAlignment="1">
      <alignment horizontal="left"/>
    </xf>
    <xf numFmtId="0" fontId="60" fillId="0" borderId="4" xfId="0" applyFont="1" applyBorder="1" applyAlignment="1">
      <alignment horizontal="left"/>
    </xf>
    <xf numFmtId="0" fontId="60" fillId="0" borderId="3" xfId="0" applyFont="1" applyBorder="1" applyAlignment="1">
      <alignment horizontal="left" indent="2"/>
    </xf>
    <xf numFmtId="0" fontId="60" fillId="0" borderId="4" xfId="0" applyFont="1" applyBorder="1" applyAlignment="1">
      <alignment horizontal="left" indent="2"/>
    </xf>
    <xf numFmtId="0" fontId="59" fillId="0" borderId="27" xfId="0" applyFont="1" applyBorder="1" applyAlignment="1">
      <alignment horizontal="left" vertical="top" wrapText="1"/>
    </xf>
    <xf numFmtId="0" fontId="59" fillId="0" borderId="28" xfId="0" applyFont="1" applyBorder="1" applyAlignment="1">
      <alignment horizontal="left" vertical="top" wrapText="1"/>
    </xf>
    <xf numFmtId="0" fontId="60" fillId="0" borderId="3" xfId="0" applyFont="1" applyBorder="1" applyAlignment="1">
      <alignment horizontal="left" indent="3"/>
    </xf>
    <xf numFmtId="0" fontId="60" fillId="0" borderId="4" xfId="0" applyFont="1" applyBorder="1" applyAlignment="1">
      <alignment horizontal="left" indent="3"/>
    </xf>
    <xf numFmtId="0" fontId="59" fillId="9" borderId="1" xfId="0" applyFont="1" applyFill="1" applyBorder="1" applyAlignment="1">
      <alignment horizontal="left"/>
    </xf>
    <xf numFmtId="0" fontId="59" fillId="9" borderId="11" xfId="0" applyFont="1" applyFill="1" applyBorder="1" applyAlignment="1">
      <alignment horizontal="left"/>
    </xf>
    <xf numFmtId="0" fontId="59" fillId="0" borderId="3" xfId="0" applyFont="1" applyFill="1" applyBorder="1" applyAlignment="1">
      <alignment horizontal="left"/>
    </xf>
    <xf numFmtId="0" fontId="59" fillId="0" borderId="4" xfId="0" applyFont="1" applyFill="1" applyBorder="1" applyAlignment="1">
      <alignment horizontal="left"/>
    </xf>
    <xf numFmtId="0" fontId="59" fillId="0" borderId="6" xfId="0" applyFont="1" applyFill="1" applyBorder="1" applyAlignment="1">
      <alignment horizontal="left"/>
    </xf>
    <xf numFmtId="0" fontId="59" fillId="0" borderId="10" xfId="0" applyFont="1" applyFill="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59" fillId="0" borderId="6" xfId="0" applyFont="1" applyBorder="1" applyAlignment="1">
      <alignment horizontal="left"/>
    </xf>
    <xf numFmtId="0" fontId="59" fillId="0" borderId="10" xfId="0" applyFont="1" applyBorder="1" applyAlignment="1">
      <alignment horizontal="left"/>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Model'!$L$37,'Earnings Model'!$N$37,'Earnings Model'!$O$37,'Earnings Model'!$P$37,'Earnings Model'!$Q$37,'Earnings Model'!$S$37,'Earnings Model'!$T$37,'Earnings Model'!$U$37)</c:f>
              <c:numCache>
                <c:formatCode>_(* #,##0_);_(* \(#,##0\);_(* "-"??_);_(@_)</c:formatCode>
                <c:ptCount val="8"/>
                <c:pt idx="0">
                  <c:v>2287</c:v>
                </c:pt>
                <c:pt idx="1">
                  <c:v>2289</c:v>
                </c:pt>
                <c:pt idx="2">
                  <c:v>2291</c:v>
                </c:pt>
                <c:pt idx="3">
                  <c:v>2290</c:v>
                </c:pt>
                <c:pt idx="4">
                  <c:v>2292</c:v>
                </c:pt>
                <c:pt idx="5">
                  <c:v>2293</c:v>
                </c:pt>
                <c:pt idx="6">
                  <c:v>2294</c:v>
                </c:pt>
                <c:pt idx="7">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Model'!$L$46,'Earnings Model'!$N$46,'Earnings Model'!$O$46,'Earnings Model'!$P$46,'Earnings Model'!$Q$46,'Earnings Model'!$S$46,'Earnings Model'!$T$46,'Earnings Model'!$U$46)</c:f>
              <c:numCache>
                <c:formatCode>0.0%</c:formatCode>
                <c:ptCount val="8"/>
                <c:pt idx="0">
                  <c:v>3.2000000000000001E-2</c:v>
                </c:pt>
                <c:pt idx="1">
                  <c:v>2.5000000000000001E-2</c:v>
                </c:pt>
                <c:pt idx="2">
                  <c:v>0.03</c:v>
                </c:pt>
                <c:pt idx="3">
                  <c:v>3.5999999999999997E-2</c:v>
                </c:pt>
                <c:pt idx="4" formatCode="0.00%">
                  <c:v>5.5E-2</c:v>
                </c:pt>
                <c:pt idx="5">
                  <c:v>4.474299076543746E-2</c:v>
                </c:pt>
                <c:pt idx="6">
                  <c:v>3.8329362625897388E-2</c:v>
                </c:pt>
                <c:pt idx="7">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3" zoomScaleNormal="100" workbookViewId="0">
      <pane xSplit="3" ySplit="11" topLeftCell="L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16384" width="8.85546875" style="4"/>
  </cols>
  <sheetData>
    <row r="1" spans="1:45" ht="9" customHeight="1" x14ac:dyDescent="0.25">
      <c r="B1" s="168" t="s">
        <v>14</v>
      </c>
    </row>
    <row r="2" spans="1:45" ht="45" customHeight="1" x14ac:dyDescent="0.25">
      <c r="B2" s="225" t="s">
        <v>13</v>
      </c>
      <c r="C2" s="226"/>
      <c r="F2" s="12"/>
    </row>
    <row r="3" spans="1:45" x14ac:dyDescent="0.25">
      <c r="B3" s="229" t="s">
        <v>108</v>
      </c>
      <c r="C3" s="230"/>
    </row>
    <row r="4" spans="1:45" s="177" customFormat="1" hidden="1" x14ac:dyDescent="0.25">
      <c r="B4" s="231"/>
      <c r="C4" s="232"/>
      <c r="D4" s="205"/>
      <c r="E4" s="205"/>
      <c r="F4" s="206"/>
      <c r="G4" s="206"/>
      <c r="H4" s="206"/>
      <c r="I4" s="205"/>
      <c r="J4" s="205"/>
      <c r="K4" s="206"/>
      <c r="L4" s="206"/>
      <c r="M4" s="206"/>
      <c r="N4" s="205"/>
      <c r="O4" s="205"/>
      <c r="P4" s="206"/>
      <c r="Q4" s="206"/>
      <c r="R4" s="206"/>
      <c r="S4" s="205"/>
      <c r="T4" s="205"/>
      <c r="U4" s="206"/>
      <c r="V4" s="206"/>
      <c r="W4" s="206"/>
      <c r="AS4" s="207"/>
    </row>
    <row r="5" spans="1:45" s="177" customFormat="1" hidden="1" x14ac:dyDescent="0.25">
      <c r="B5" s="233"/>
      <c r="C5" s="234"/>
      <c r="D5" s="208"/>
      <c r="E5" s="208"/>
      <c r="F5" s="208"/>
      <c r="G5" s="208"/>
      <c r="H5" s="209"/>
      <c r="I5" s="209"/>
      <c r="J5" s="209"/>
      <c r="K5" s="209"/>
      <c r="L5" s="209"/>
      <c r="M5" s="209"/>
      <c r="N5" s="209"/>
      <c r="O5" s="209"/>
      <c r="P5" s="209"/>
      <c r="Q5" s="209"/>
      <c r="R5" s="209"/>
      <c r="S5" s="209"/>
      <c r="T5" s="209"/>
      <c r="U5" s="209"/>
      <c r="V5" s="209"/>
      <c r="W5" s="209"/>
    </row>
    <row r="6" spans="1:45" ht="14.45" hidden="1" customHeight="1" x14ac:dyDescent="0.25">
      <c r="B6" s="74"/>
      <c r="C6" s="75"/>
      <c r="D6" s="13"/>
      <c r="E6" s="13"/>
      <c r="F6" s="13"/>
      <c r="G6" s="13"/>
      <c r="H6" s="15"/>
      <c r="I6" s="13"/>
      <c r="J6" s="13"/>
      <c r="K6" s="13"/>
      <c r="L6" s="13"/>
      <c r="M6" s="13"/>
      <c r="N6" s="13"/>
      <c r="O6" s="77"/>
      <c r="P6" s="76"/>
      <c r="Q6" s="13"/>
      <c r="R6" s="77"/>
      <c r="S6" s="13"/>
      <c r="T6" s="13"/>
      <c r="U6" s="13"/>
      <c r="V6" s="13"/>
      <c r="W6" s="13"/>
    </row>
    <row r="7" spans="1:45" ht="14.45" hidden="1" customHeight="1" x14ac:dyDescent="0.25">
      <c r="B7" s="62"/>
      <c r="C7" s="71"/>
      <c r="D7" s="39"/>
      <c r="E7" s="39"/>
      <c r="F7" s="39"/>
      <c r="G7" s="39"/>
      <c r="H7" s="39"/>
      <c r="I7" s="39"/>
      <c r="J7" s="39"/>
      <c r="K7" s="39"/>
      <c r="L7" s="39"/>
      <c r="M7" s="39"/>
      <c r="N7" s="39"/>
      <c r="O7" s="77"/>
      <c r="P7" s="76"/>
      <c r="Q7" s="39"/>
      <c r="R7" s="77"/>
      <c r="S7" s="39"/>
      <c r="T7" s="39"/>
      <c r="U7" s="39"/>
      <c r="V7" s="39"/>
      <c r="W7" s="39"/>
    </row>
    <row r="8" spans="1:45" ht="14.45" hidden="1" customHeight="1" x14ac:dyDescent="0.25">
      <c r="B8" s="62"/>
      <c r="C8" s="73"/>
      <c r="D8" s="39"/>
      <c r="E8" s="39"/>
      <c r="F8" s="39"/>
      <c r="G8" s="39"/>
      <c r="H8" s="39"/>
      <c r="I8" s="39"/>
      <c r="J8" s="72"/>
      <c r="K8" s="39"/>
      <c r="L8" s="39"/>
      <c r="M8" s="39"/>
      <c r="N8" s="26"/>
      <c r="O8" s="77"/>
      <c r="P8" s="100"/>
      <c r="Q8" s="100"/>
      <c r="R8" s="26"/>
      <c r="S8" s="100"/>
      <c r="T8" s="100"/>
      <c r="U8" s="44"/>
      <c r="V8" s="26"/>
      <c r="W8" s="26"/>
    </row>
    <row r="9" spans="1:45" ht="14.45" hidden="1" customHeight="1" x14ac:dyDescent="0.25">
      <c r="B9" s="154"/>
      <c r="C9" s="193"/>
      <c r="D9" s="44"/>
      <c r="E9" s="44"/>
      <c r="F9" s="44"/>
      <c r="G9" s="44"/>
      <c r="H9" s="44"/>
      <c r="I9" s="44"/>
      <c r="J9" s="39"/>
      <c r="K9" s="39"/>
      <c r="L9" s="39"/>
      <c r="M9" s="44"/>
      <c r="N9" s="187"/>
      <c r="O9" s="26"/>
      <c r="P9" s="101"/>
      <c r="Q9" s="102"/>
      <c r="R9" s="39"/>
      <c r="S9" s="78"/>
      <c r="T9" s="39"/>
      <c r="U9" s="39"/>
      <c r="V9" s="39"/>
      <c r="W9" s="44"/>
    </row>
    <row r="10" spans="1:45" ht="14.45" hidden="1" customHeight="1" x14ac:dyDescent="0.25">
      <c r="B10" s="198"/>
      <c r="C10" s="199"/>
      <c r="D10" s="44"/>
      <c r="E10" s="44"/>
      <c r="F10" s="44"/>
      <c r="G10" s="44"/>
      <c r="H10" s="44"/>
      <c r="I10" s="44"/>
      <c r="J10" s="39"/>
      <c r="K10" s="39"/>
      <c r="L10" s="39"/>
      <c r="M10" s="44"/>
      <c r="N10" s="187"/>
      <c r="O10" s="26"/>
      <c r="P10" s="101"/>
      <c r="Q10" s="26"/>
      <c r="R10" s="26"/>
      <c r="S10" s="26"/>
      <c r="T10" s="26"/>
      <c r="U10" s="26"/>
      <c r="V10" s="26"/>
      <c r="W10" s="178"/>
    </row>
    <row r="11" spans="1:45" ht="14.25" customHeight="1" x14ac:dyDescent="0.25">
      <c r="B11" s="168" t="s">
        <v>14</v>
      </c>
      <c r="D11" s="17"/>
      <c r="E11" s="17"/>
      <c r="F11" s="17"/>
      <c r="G11" s="17"/>
      <c r="H11" s="17"/>
      <c r="I11" s="17"/>
      <c r="J11" s="17"/>
      <c r="K11" s="17"/>
      <c r="L11" s="17"/>
      <c r="M11" s="17"/>
      <c r="N11" s="110"/>
      <c r="O11" s="192"/>
      <c r="P11" s="192"/>
      <c r="Q11" s="17"/>
      <c r="R11" s="14"/>
      <c r="S11" s="17"/>
      <c r="T11" s="17"/>
      <c r="U11" s="17"/>
      <c r="V11" s="13"/>
      <c r="W11" s="13"/>
    </row>
    <row r="12" spans="1:45" ht="15.75" x14ac:dyDescent="0.25">
      <c r="A12" s="210"/>
      <c r="B12" s="213" t="s">
        <v>58</v>
      </c>
      <c r="C12" s="214"/>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45" customHeight="1" x14ac:dyDescent="0.4">
      <c r="A13" s="210"/>
      <c r="B13" s="219" t="s">
        <v>3</v>
      </c>
      <c r="C13" s="220"/>
      <c r="D13" s="24" t="s">
        <v>39</v>
      </c>
      <c r="E13" s="24" t="s">
        <v>40</v>
      </c>
      <c r="F13" s="24" t="s">
        <v>41</v>
      </c>
      <c r="G13" s="24" t="s">
        <v>42</v>
      </c>
      <c r="H13" s="67" t="s">
        <v>43</v>
      </c>
      <c r="I13" s="24" t="s">
        <v>44</v>
      </c>
      <c r="J13" s="24" t="s">
        <v>45</v>
      </c>
      <c r="K13" s="24" t="s">
        <v>46</v>
      </c>
      <c r="L13" s="24" t="s">
        <v>47</v>
      </c>
      <c r="M13" s="67" t="s">
        <v>48</v>
      </c>
      <c r="N13" s="24" t="s">
        <v>49</v>
      </c>
      <c r="O13" s="24" t="s">
        <v>104</v>
      </c>
      <c r="P13" s="24" t="s">
        <v>105</v>
      </c>
      <c r="Q13" s="22" t="s">
        <v>97</v>
      </c>
      <c r="R13" s="69" t="s">
        <v>98</v>
      </c>
      <c r="S13" s="22" t="s">
        <v>99</v>
      </c>
      <c r="T13" s="22" t="s">
        <v>100</v>
      </c>
      <c r="U13" s="22" t="s">
        <v>101</v>
      </c>
      <c r="V13" s="22" t="s">
        <v>102</v>
      </c>
      <c r="W13" s="69" t="s">
        <v>103</v>
      </c>
    </row>
    <row r="14" spans="1:45" x14ac:dyDescent="0.25">
      <c r="B14" s="211" t="s">
        <v>59</v>
      </c>
      <c r="C14" s="212"/>
      <c r="D14" s="26">
        <v>23887</v>
      </c>
      <c r="E14" s="26">
        <v>28108</v>
      </c>
      <c r="F14" s="26">
        <v>25026</v>
      </c>
      <c r="G14" s="26">
        <v>23883</v>
      </c>
      <c r="H14" s="27">
        <f>SUM(D14:G14)</f>
        <v>100904</v>
      </c>
      <c r="I14" s="26">
        <v>24947</v>
      </c>
      <c r="J14" s="26">
        <v>30463</v>
      </c>
      <c r="K14" s="26">
        <v>26302</v>
      </c>
      <c r="L14" s="26">
        <v>26491</v>
      </c>
      <c r="M14" s="27">
        <f>SUM(I14:L14)</f>
        <v>108203</v>
      </c>
      <c r="N14" s="169">
        <v>26381</v>
      </c>
      <c r="O14" s="169">
        <v>30839</v>
      </c>
      <c r="P14" s="169">
        <v>27223</v>
      </c>
      <c r="Q14" s="169">
        <f t="shared" ref="Q14" si="0">+Q42</f>
        <v>26043.962979865271</v>
      </c>
      <c r="R14" s="189">
        <f>SUM(N14:Q14)</f>
        <v>110486.96297986527</v>
      </c>
      <c r="S14" s="169">
        <f t="shared" ref="S14:V14" si="1">+S42</f>
        <v>27611.000000000004</v>
      </c>
      <c r="T14" s="169">
        <f t="shared" si="1"/>
        <v>32075</v>
      </c>
      <c r="U14" s="169">
        <f t="shared" si="1"/>
        <v>28235</v>
      </c>
      <c r="V14" s="169">
        <f t="shared" si="1"/>
        <v>27029.93591213907</v>
      </c>
      <c r="W14" s="189">
        <f>SUM(S14:V14)</f>
        <v>114950.93591213907</v>
      </c>
    </row>
    <row r="15" spans="1:45" ht="17.25" outlineLevel="1" x14ac:dyDescent="0.4">
      <c r="B15" s="217" t="s">
        <v>50</v>
      </c>
      <c r="C15" s="218"/>
      <c r="D15" s="30">
        <v>15733</v>
      </c>
      <c r="E15" s="30">
        <v>18647</v>
      </c>
      <c r="F15" s="30">
        <v>16378</v>
      </c>
      <c r="G15" s="30">
        <v>15790</v>
      </c>
      <c r="H15" s="31">
        <f>SUM(D15:G15)</f>
        <v>66548</v>
      </c>
      <c r="I15" s="30">
        <v>16330</v>
      </c>
      <c r="J15" s="30">
        <v>20098</v>
      </c>
      <c r="K15" s="30">
        <v>17151</v>
      </c>
      <c r="L15" s="30">
        <v>17464</v>
      </c>
      <c r="M15" s="31">
        <f>SUM(I15:L15)</f>
        <v>71043</v>
      </c>
      <c r="N15" s="170">
        <v>17364</v>
      </c>
      <c r="O15" s="170">
        <v>20407</v>
      </c>
      <c r="P15" s="170">
        <v>17836</v>
      </c>
      <c r="Q15" s="30">
        <f>(1-Q55)*Q14</f>
        <v>17189.015566711078</v>
      </c>
      <c r="R15" s="31">
        <f>SUM(N15:Q15)</f>
        <v>72796.015566711081</v>
      </c>
      <c r="S15" s="30">
        <f>(1-S55)*S14</f>
        <v>18223.259999999998</v>
      </c>
      <c r="T15" s="30">
        <f>(1-T55)*T14</f>
        <v>21297.8</v>
      </c>
      <c r="U15" s="30">
        <f>(1-U55)*U14</f>
        <v>18533.453999999998</v>
      </c>
      <c r="V15" s="30">
        <f>(1-V55)*V14</f>
        <v>17839.757702011782</v>
      </c>
      <c r="W15" s="31">
        <f>SUM(S15:V15)</f>
        <v>75894.271702011785</v>
      </c>
    </row>
    <row r="16" spans="1:45" s="20" customFormat="1" outlineLevel="1" x14ac:dyDescent="0.25">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71">
        <f>+N14-N15</f>
        <v>9017</v>
      </c>
      <c r="O16" s="171">
        <f t="shared" si="3"/>
        <v>10432</v>
      </c>
      <c r="P16" s="171">
        <f t="shared" si="3"/>
        <v>9387</v>
      </c>
      <c r="Q16" s="34">
        <f t="shared" si="3"/>
        <v>8854.9474131541938</v>
      </c>
      <c r="R16" s="35">
        <f t="shared" si="3"/>
        <v>37690.947413154194</v>
      </c>
      <c r="S16" s="34">
        <f t="shared" si="3"/>
        <v>9387.7400000000052</v>
      </c>
      <c r="T16" s="34">
        <f t="shared" si="3"/>
        <v>10777.2</v>
      </c>
      <c r="U16" s="34">
        <f t="shared" si="3"/>
        <v>9701.5460000000021</v>
      </c>
      <c r="V16" s="34">
        <f t="shared" si="3"/>
        <v>9190.1782101272875</v>
      </c>
      <c r="W16" s="35">
        <f t="shared" si="3"/>
        <v>39056.664210127288</v>
      </c>
    </row>
    <row r="17" spans="1:23"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69">
        <v>4940</v>
      </c>
      <c r="O17" s="169">
        <v>5044</v>
      </c>
      <c r="P17" s="169">
        <v>4942</v>
      </c>
      <c r="Q17" s="26">
        <f>Q14*Q56</f>
        <v>4753.0232438254116</v>
      </c>
      <c r="R17" s="27">
        <f>SUM(N17:Q17)</f>
        <v>19679.02324382541</v>
      </c>
      <c r="S17" s="26">
        <f>S14*S56</f>
        <v>5091.0932988381674</v>
      </c>
      <c r="T17" s="26">
        <f>T14*T56</f>
        <v>5154.4661604557305</v>
      </c>
      <c r="U17" s="26">
        <f>U14*U56</f>
        <v>5025.83</v>
      </c>
      <c r="V17" s="26">
        <f>V14*V56</f>
        <v>4946.47827192145</v>
      </c>
      <c r="W17" s="27">
        <f>SUM(S17:V17)</f>
        <v>20217.867731215349</v>
      </c>
    </row>
    <row r="18" spans="1:23" outlineLevel="1" x14ac:dyDescent="0.25">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69">
        <v>480</v>
      </c>
      <c r="O18" s="169">
        <v>492</v>
      </c>
      <c r="P18" s="169">
        <v>498</v>
      </c>
      <c r="Q18" s="49">
        <v>595.12552665017051</v>
      </c>
      <c r="R18" s="189">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
      <c r="B19" s="118" t="s">
        <v>61</v>
      </c>
      <c r="C19" s="28"/>
      <c r="D19" s="30">
        <v>0</v>
      </c>
      <c r="E19" s="30">
        <v>0</v>
      </c>
      <c r="F19" s="30">
        <v>0</v>
      </c>
      <c r="G19" s="30">
        <v>0</v>
      </c>
      <c r="H19" s="31">
        <f t="shared" ref="H19" si="8">SUM(D19:G19)</f>
        <v>0</v>
      </c>
      <c r="I19" s="30">
        <v>0</v>
      </c>
      <c r="J19" s="30">
        <v>0</v>
      </c>
      <c r="K19" s="30">
        <v>0</v>
      </c>
      <c r="L19" s="30">
        <v>247</v>
      </c>
      <c r="M19" s="31">
        <f t="shared" ref="M19" si="9">SUM(I19:L19)</f>
        <v>247</v>
      </c>
      <c r="N19" s="170">
        <v>0</v>
      </c>
      <c r="O19" s="170">
        <v>0</v>
      </c>
      <c r="P19" s="170">
        <v>0</v>
      </c>
      <c r="Q19" s="48">
        <v>0</v>
      </c>
      <c r="R19" s="31">
        <f t="shared" ref="R19" si="10">SUM(N19:Q19)</f>
        <v>0</v>
      </c>
      <c r="S19" s="48">
        <v>0</v>
      </c>
      <c r="T19" s="48">
        <v>0</v>
      </c>
      <c r="U19" s="48">
        <v>0</v>
      </c>
      <c r="V19" s="48">
        <v>0</v>
      </c>
      <c r="W19" s="31">
        <f t="shared" ref="W19" si="11">SUM(S19:V19)</f>
        <v>0</v>
      </c>
    </row>
    <row r="20" spans="1:23" s="33" customFormat="1" ht="17.25" customHeight="1" x14ac:dyDescent="0.4">
      <c r="B20" s="119" t="s">
        <v>10</v>
      </c>
      <c r="C20" s="32"/>
      <c r="D20" s="149">
        <f t="shared" ref="D20:K20" si="12">SUM(D17:D19)</f>
        <v>4805</v>
      </c>
      <c r="E20" s="149">
        <f t="shared" si="12"/>
        <v>4998</v>
      </c>
      <c r="F20" s="149">
        <f t="shared" si="12"/>
        <v>4968</v>
      </c>
      <c r="G20" s="149">
        <f t="shared" si="12"/>
        <v>4904</v>
      </c>
      <c r="H20" s="150">
        <f t="shared" si="12"/>
        <v>19675</v>
      </c>
      <c r="I20" s="149">
        <f t="shared" si="12"/>
        <v>5236</v>
      </c>
      <c r="J20" s="149">
        <f t="shared" si="12"/>
        <v>5464</v>
      </c>
      <c r="K20" s="149">
        <f t="shared" si="12"/>
        <v>5281</v>
      </c>
      <c r="L20" s="149">
        <f>SUM(L17:L19)</f>
        <v>5649</v>
      </c>
      <c r="M20" s="150">
        <f t="shared" ref="M20:W20" si="13">SUM(M17:M19)</f>
        <v>21630</v>
      </c>
      <c r="N20" s="172">
        <f>SUM(N17:N19)</f>
        <v>5420</v>
      </c>
      <c r="O20" s="172">
        <f t="shared" si="13"/>
        <v>5536</v>
      </c>
      <c r="P20" s="172">
        <f t="shared" si="13"/>
        <v>5440</v>
      </c>
      <c r="Q20" s="149">
        <f t="shared" si="13"/>
        <v>5348.1487704755818</v>
      </c>
      <c r="R20" s="150">
        <f t="shared" si="13"/>
        <v>21744.148770475578</v>
      </c>
      <c r="S20" s="149">
        <f t="shared" si="13"/>
        <v>5672.7099149369687</v>
      </c>
      <c r="T20" s="149">
        <f t="shared" si="13"/>
        <v>5748.9046943267458</v>
      </c>
      <c r="U20" s="149">
        <f t="shared" si="13"/>
        <v>5634.7006250113445</v>
      </c>
      <c r="V20" s="149">
        <f t="shared" si="13"/>
        <v>5552.1489113850594</v>
      </c>
      <c r="W20" s="150">
        <f t="shared" si="13"/>
        <v>22608.46414566012</v>
      </c>
    </row>
    <row r="21" spans="1:23" x14ac:dyDescent="0.25">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71">
        <f>N16-N20</f>
        <v>3597</v>
      </c>
      <c r="O21" s="171">
        <f t="shared" si="15"/>
        <v>4896</v>
      </c>
      <c r="P21" s="171">
        <f t="shared" si="15"/>
        <v>3947</v>
      </c>
      <c r="Q21" s="34">
        <f t="shared" si="15"/>
        <v>3506.7986426786119</v>
      </c>
      <c r="R21" s="35">
        <f t="shared" si="15"/>
        <v>15946.798642678616</v>
      </c>
      <c r="S21" s="34">
        <f t="shared" si="15"/>
        <v>3715.0300850630365</v>
      </c>
      <c r="T21" s="34">
        <f t="shared" si="15"/>
        <v>5028.2953056732549</v>
      </c>
      <c r="U21" s="34">
        <f t="shared" si="15"/>
        <v>4066.8453749886576</v>
      </c>
      <c r="V21" s="34">
        <f t="shared" si="15"/>
        <v>3638.0292987422281</v>
      </c>
      <c r="W21" s="35">
        <f t="shared" si="15"/>
        <v>16448.200064467168</v>
      </c>
    </row>
    <row r="22" spans="1:23" x14ac:dyDescent="0.25">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69">
        <v>-15</v>
      </c>
      <c r="O22" s="169">
        <v>-19</v>
      </c>
      <c r="P22" s="169">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25">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69">
        <v>288</v>
      </c>
      <c r="O23" s="169">
        <v>302</v>
      </c>
      <c r="P23" s="169">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7.25" x14ac:dyDescent="0.4">
      <c r="B24" s="64" t="s">
        <v>63</v>
      </c>
      <c r="C24" s="57"/>
      <c r="D24" s="30">
        <v>0</v>
      </c>
      <c r="E24" s="30">
        <v>0</v>
      </c>
      <c r="F24" s="30">
        <v>0</v>
      </c>
      <c r="G24" s="30">
        <v>0</v>
      </c>
      <c r="H24" s="31">
        <f t="shared" ref="H24" si="24">SUM(D24:G24)</f>
        <v>0</v>
      </c>
      <c r="I24" s="30">
        <v>0</v>
      </c>
      <c r="J24" s="30">
        <v>0</v>
      </c>
      <c r="K24" s="30">
        <v>0</v>
      </c>
      <c r="L24" s="30">
        <v>16</v>
      </c>
      <c r="M24" s="31">
        <f t="shared" si="21"/>
        <v>16</v>
      </c>
      <c r="N24" s="170">
        <v>0</v>
      </c>
      <c r="O24" s="170">
        <v>0</v>
      </c>
      <c r="P24" s="170">
        <v>0</v>
      </c>
      <c r="Q24" s="48">
        <v>0</v>
      </c>
      <c r="R24" s="31">
        <f t="shared" ref="R24" si="25">SUM(N24:Q24)</f>
        <v>0</v>
      </c>
      <c r="S24" s="48">
        <v>0</v>
      </c>
      <c r="T24" s="48">
        <v>0</v>
      </c>
      <c r="U24" s="48">
        <v>0</v>
      </c>
      <c r="V24" s="48">
        <v>0</v>
      </c>
      <c r="W24" s="31">
        <f t="shared" ref="W24" si="26">SUM(S24:V24)</f>
        <v>0</v>
      </c>
    </row>
    <row r="25" spans="1:23" ht="17.25" x14ac:dyDescent="0.4">
      <c r="B25" s="227" t="s">
        <v>96</v>
      </c>
      <c r="C25" s="228"/>
      <c r="D25" s="149">
        <f>SUM(D22:D24)</f>
        <v>241</v>
      </c>
      <c r="E25" s="149">
        <f t="shared" ref="E25:W25" si="27">SUM(E22:E24)</f>
        <v>249</v>
      </c>
      <c r="F25" s="149">
        <f t="shared" si="27"/>
        <v>247</v>
      </c>
      <c r="G25" s="149">
        <f>SUM(G22:G24)</f>
        <v>246</v>
      </c>
      <c r="H25" s="150">
        <f t="shared" si="27"/>
        <v>983</v>
      </c>
      <c r="I25" s="149">
        <f t="shared" si="27"/>
        <v>239</v>
      </c>
      <c r="J25" s="149">
        <f t="shared" si="27"/>
        <v>246</v>
      </c>
      <c r="K25" s="149">
        <f t="shared" si="27"/>
        <v>224</v>
      </c>
      <c r="L25" s="149">
        <f>SUM(L22:L24)</f>
        <v>265</v>
      </c>
      <c r="M25" s="150">
        <f t="shared" si="27"/>
        <v>974</v>
      </c>
      <c r="N25" s="172">
        <f t="shared" si="27"/>
        <v>273</v>
      </c>
      <c r="O25" s="172">
        <f>SUM(O22:O24)</f>
        <v>283</v>
      </c>
      <c r="P25" s="172">
        <f t="shared" si="27"/>
        <v>280</v>
      </c>
      <c r="Q25" s="149">
        <f t="shared" si="27"/>
        <v>283.9090737532398</v>
      </c>
      <c r="R25" s="190">
        <f t="shared" si="27"/>
        <v>1119.9090737532397</v>
      </c>
      <c r="S25" s="149">
        <f t="shared" si="27"/>
        <v>294.58000914469005</v>
      </c>
      <c r="T25" s="149">
        <f t="shared" si="27"/>
        <v>279.49542522899634</v>
      </c>
      <c r="U25" s="149">
        <f t="shared" si="27"/>
        <v>280.08527294038049</v>
      </c>
      <c r="V25" s="149">
        <f t="shared" si="27"/>
        <v>283.52056016007623</v>
      </c>
      <c r="W25" s="150">
        <f t="shared" si="27"/>
        <v>1137.6812674741432</v>
      </c>
    </row>
    <row r="26" spans="1:23" x14ac:dyDescent="0.25">
      <c r="B26" s="215" t="s">
        <v>18</v>
      </c>
      <c r="C26" s="216"/>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71">
        <f>N21-N25</f>
        <v>3324</v>
      </c>
      <c r="O26" s="171">
        <f t="shared" si="28"/>
        <v>4613</v>
      </c>
      <c r="P26" s="171">
        <f t="shared" si="28"/>
        <v>3667</v>
      </c>
      <c r="Q26" s="34">
        <f t="shared" si="28"/>
        <v>3222.8895689253723</v>
      </c>
      <c r="R26" s="35">
        <f t="shared" si="28"/>
        <v>14826.889568925377</v>
      </c>
      <c r="S26" s="34">
        <f t="shared" si="28"/>
        <v>3420.4500759183466</v>
      </c>
      <c r="T26" s="34">
        <f t="shared" si="28"/>
        <v>4748.7998804442586</v>
      </c>
      <c r="U26" s="34">
        <f t="shared" si="28"/>
        <v>3786.7601020482771</v>
      </c>
      <c r="V26" s="34">
        <f t="shared" si="28"/>
        <v>3354.5087385821516</v>
      </c>
      <c r="W26" s="35">
        <f t="shared" si="28"/>
        <v>15310.518796993025</v>
      </c>
    </row>
    <row r="27" spans="1:23" ht="17.25" x14ac:dyDescent="0.4">
      <c r="B27" s="211" t="s">
        <v>7</v>
      </c>
      <c r="C27" s="212"/>
      <c r="D27" s="30">
        <v>1094</v>
      </c>
      <c r="E27" s="30">
        <v>1542</v>
      </c>
      <c r="F27" s="30">
        <v>1268</v>
      </c>
      <c r="G27" s="30">
        <v>1164</v>
      </c>
      <c r="H27" s="31">
        <f>SUM(D27:G27)</f>
        <v>5068</v>
      </c>
      <c r="I27" s="30">
        <v>738</v>
      </c>
      <c r="J27" s="30">
        <v>1149</v>
      </c>
      <c r="K27" s="30">
        <v>779</v>
      </c>
      <c r="L27" s="30">
        <v>769</v>
      </c>
      <c r="M27" s="31">
        <f>SUM(I27:L27)</f>
        <v>3435</v>
      </c>
      <c r="N27" s="170">
        <v>811</v>
      </c>
      <c r="O27" s="170">
        <v>1134</v>
      </c>
      <c r="P27" s="170">
        <v>898</v>
      </c>
      <c r="Q27" s="30">
        <f>Q26*Q58</f>
        <v>821.83684007596992</v>
      </c>
      <c r="R27" s="31">
        <f>SUM(N27:Q27)</f>
        <v>3664.83684007597</v>
      </c>
      <c r="S27" s="30">
        <f>S26*S58</f>
        <v>855.11251897958664</v>
      </c>
      <c r="T27" s="30">
        <f>T26*T58</f>
        <v>1187.1999701110647</v>
      </c>
      <c r="U27" s="30">
        <f>U26*U58</f>
        <v>946.69002551206927</v>
      </c>
      <c r="V27" s="30">
        <f>V26*V58</f>
        <v>838.62718464553791</v>
      </c>
      <c r="W27" s="31">
        <f>SUM(S27:V27)</f>
        <v>3827.6296992482585</v>
      </c>
    </row>
    <row r="28" spans="1:23" x14ac:dyDescent="0.25">
      <c r="A28" s="36"/>
      <c r="B28" s="227" t="s">
        <v>64</v>
      </c>
      <c r="C28" s="228"/>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71">
        <f>+N26-N27</f>
        <v>2513</v>
      </c>
      <c r="O28" s="171">
        <f t="shared" si="29"/>
        <v>3479</v>
      </c>
      <c r="P28" s="171">
        <f t="shared" si="29"/>
        <v>2769</v>
      </c>
      <c r="Q28" s="34">
        <f t="shared" si="29"/>
        <v>2401.0527288494022</v>
      </c>
      <c r="R28" s="35">
        <f t="shared" si="29"/>
        <v>11162.052728849407</v>
      </c>
      <c r="S28" s="34">
        <f t="shared" si="29"/>
        <v>2565.3375569387599</v>
      </c>
      <c r="T28" s="34">
        <f t="shared" si="29"/>
        <v>3561.5999103331942</v>
      </c>
      <c r="U28" s="34">
        <f t="shared" si="29"/>
        <v>2840.070076536208</v>
      </c>
      <c r="V28" s="34">
        <f t="shared" si="29"/>
        <v>2515.8815539366137</v>
      </c>
      <c r="W28" s="35">
        <f t="shared" si="29"/>
        <v>11482.889097744766</v>
      </c>
    </row>
    <row r="29" spans="1:23" x14ac:dyDescent="0.25">
      <c r="B29" s="211" t="s">
        <v>0</v>
      </c>
      <c r="C29" s="212"/>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9">
        <v>1101</v>
      </c>
      <c r="O29" s="169">
        <v>1095</v>
      </c>
      <c r="P29" s="169">
        <v>1089</v>
      </c>
      <c r="Q29" s="26">
        <f>P29*(1+Q62)-Q66</f>
        <v>1083.1341412002821</v>
      </c>
      <c r="R29" s="27">
        <f>+(N28/R28*N29)+(O28/R28*O29)+(P28/R28*P29)+(Q28/R28*Q29)</f>
        <v>1092.3099434861474</v>
      </c>
      <c r="S29" s="26">
        <f>Q29*(1+S62)-S66</f>
        <v>1078.6738128349368</v>
      </c>
      <c r="T29" s="26">
        <f>S29*(1+T62)-T66</f>
        <v>1075.5969965355787</v>
      </c>
      <c r="U29" s="26">
        <f>T29*(1+U62)-U66</f>
        <v>1072.276809189791</v>
      </c>
      <c r="V29" s="26">
        <f>U29*(1+V62)-V66</f>
        <v>1068.8919808174267</v>
      </c>
      <c r="W29" s="27">
        <f>+(S28/W28*S29)+(T28/W28*T29)+(U28/W28*U29)+(V28/W28*V29)</f>
        <v>1073.994131827212</v>
      </c>
    </row>
    <row r="30" spans="1:23" ht="15.75" customHeight="1" x14ac:dyDescent="0.25">
      <c r="B30" s="211" t="s">
        <v>1</v>
      </c>
      <c r="C30" s="212"/>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9">
        <v>1106</v>
      </c>
      <c r="O30" s="169">
        <v>1099</v>
      </c>
      <c r="P30" s="169">
        <v>1094</v>
      </c>
      <c r="Q30" s="26">
        <f>P30*(1+Q63)-Q66</f>
        <v>1087.8944818708765</v>
      </c>
      <c r="R30" s="27">
        <f>+(N28/R28*N30)+(O28/R28*O30)+(P28/R28*P30)+(Q28/R28*Q30)</f>
        <v>1096.9467096988365</v>
      </c>
      <c r="S30" s="26">
        <f>Q30*(1+S63)-S66</f>
        <v>1083.3761718619853</v>
      </c>
      <c r="T30" s="26">
        <f>S30*(1+T63)-T66</f>
        <v>1080.2270453781384</v>
      </c>
      <c r="U30" s="26">
        <f>T30*(1+U63)-U66</f>
        <v>1077.0609728729094</v>
      </c>
      <c r="V30" s="26">
        <f>U30*(1+V63)-V66</f>
        <v>1073.6231657318156</v>
      </c>
      <c r="W30" s="27">
        <f>+(S28/W28*S30)+(T28/W28*T30)+(U28/W28*U30)+(V28/W28*V30)</f>
        <v>1078.7006112047286</v>
      </c>
    </row>
    <row r="31" spans="1:23" ht="15.75" customHeight="1" x14ac:dyDescent="0.25">
      <c r="B31" s="235" t="s">
        <v>8</v>
      </c>
      <c r="C31" s="236"/>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73">
        <f t="shared" si="30"/>
        <v>2.282470481380563</v>
      </c>
      <c r="O31" s="173">
        <f t="shared" si="30"/>
        <v>3.1771689497716893</v>
      </c>
      <c r="P31" s="173">
        <f t="shared" si="30"/>
        <v>2.5426997245179064</v>
      </c>
      <c r="Q31" s="37">
        <f t="shared" si="30"/>
        <v>2.2167639607303489</v>
      </c>
      <c r="R31" s="38">
        <f t="shared" si="30"/>
        <v>10.218759607026284</v>
      </c>
      <c r="S31" s="37">
        <f t="shared" si="30"/>
        <v>2.378232906384016</v>
      </c>
      <c r="T31" s="37">
        <f t="shared" si="30"/>
        <v>3.3112772923361202</v>
      </c>
      <c r="U31" s="37">
        <f t="shared" si="30"/>
        <v>2.6486351772189831</v>
      </c>
      <c r="V31" s="37">
        <f t="shared" si="30"/>
        <v>2.3537285329922799</v>
      </c>
      <c r="W31" s="38">
        <f t="shared" si="30"/>
        <v>10.691761488685838</v>
      </c>
    </row>
    <row r="32" spans="1:23" x14ac:dyDescent="0.25">
      <c r="B32" s="235" t="s">
        <v>9</v>
      </c>
      <c r="C32" s="236"/>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73">
        <f>N28/N30</f>
        <v>2.2721518987341773</v>
      </c>
      <c r="O32" s="173">
        <f t="shared" si="31"/>
        <v>3.1656050955414012</v>
      </c>
      <c r="P32" s="173">
        <f t="shared" si="31"/>
        <v>2.5310786106032905</v>
      </c>
      <c r="Q32" s="173">
        <f>Q28/Q30</f>
        <v>2.2070639835586428</v>
      </c>
      <c r="R32" s="195">
        <f t="shared" si="31"/>
        <v>10.175565166619549</v>
      </c>
      <c r="S32" s="173">
        <f t="shared" si="31"/>
        <v>2.3679102638280716</v>
      </c>
      <c r="T32" s="173">
        <f t="shared" si="31"/>
        <v>3.2970845578916603</v>
      </c>
      <c r="U32" s="173">
        <f t="shared" si="31"/>
        <v>2.6368702868888829</v>
      </c>
      <c r="V32" s="173">
        <f t="shared" si="31"/>
        <v>2.343356248485668</v>
      </c>
      <c r="W32" s="195">
        <f t="shared" si="31"/>
        <v>10.645112256792267</v>
      </c>
    </row>
    <row r="33" spans="1:25" x14ac:dyDescent="0.25">
      <c r="B33" s="166" t="s">
        <v>53</v>
      </c>
      <c r="C33" s="167"/>
      <c r="D33" s="56">
        <v>0.89</v>
      </c>
      <c r="E33" s="56">
        <v>0.89</v>
      </c>
      <c r="F33" s="56">
        <v>0.89</v>
      </c>
      <c r="G33" s="56">
        <v>1.03</v>
      </c>
      <c r="H33" s="109">
        <f>+SUM(D33:G33)</f>
        <v>3.7</v>
      </c>
      <c r="I33" s="56">
        <v>1.03</v>
      </c>
      <c r="J33" s="56">
        <v>1.03</v>
      </c>
      <c r="K33" s="56">
        <v>1.03</v>
      </c>
      <c r="L33" s="56">
        <v>1.36</v>
      </c>
      <c r="M33" s="109">
        <f>+SUM(I33:L33)</f>
        <v>4.45</v>
      </c>
      <c r="N33" s="174">
        <f>+L33</f>
        <v>1.36</v>
      </c>
      <c r="O33" s="174">
        <v>1.36</v>
      </c>
      <c r="P33" s="174">
        <v>1.36</v>
      </c>
      <c r="Q33" s="140">
        <f>1.2*P33</f>
        <v>1.6320000000000001</v>
      </c>
      <c r="R33" s="109">
        <f>+SUM(N33:Q33)</f>
        <v>5.7119999999999997</v>
      </c>
      <c r="S33" s="140">
        <f>+Q33</f>
        <v>1.6320000000000001</v>
      </c>
      <c r="T33" s="140">
        <f>+S33</f>
        <v>1.6320000000000001</v>
      </c>
      <c r="U33" s="140">
        <f>+T33</f>
        <v>1.6320000000000001</v>
      </c>
      <c r="V33" s="140">
        <f>1.2*U33</f>
        <v>1.9584000000000001</v>
      </c>
      <c r="W33" s="109">
        <f>+SUM(S33:V33)</f>
        <v>6.8544000000000009</v>
      </c>
    </row>
    <row r="34" spans="1:25" x14ac:dyDescent="0.25">
      <c r="B34" s="40"/>
      <c r="C34" s="43"/>
      <c r="D34" s="141"/>
      <c r="E34" s="43"/>
      <c r="F34" s="43"/>
      <c r="G34" s="138"/>
      <c r="H34" s="16"/>
      <c r="I34" s="139"/>
      <c r="J34" s="139"/>
      <c r="K34" s="138"/>
      <c r="L34" s="139"/>
      <c r="M34" s="3"/>
      <c r="N34" s="138"/>
      <c r="O34" s="138"/>
      <c r="P34" s="138"/>
      <c r="Q34" s="197"/>
      <c r="R34" s="196"/>
      <c r="S34" s="197"/>
      <c r="T34" s="197"/>
      <c r="U34" s="197"/>
      <c r="V34" s="197"/>
      <c r="W34" s="196"/>
    </row>
    <row r="35" spans="1:25" ht="15.75" x14ac:dyDescent="0.25">
      <c r="A35" s="177"/>
      <c r="B35" s="213" t="s">
        <v>36</v>
      </c>
      <c r="C35" s="214"/>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7.25" x14ac:dyDescent="0.4">
      <c r="A36" s="177"/>
      <c r="B36" s="219"/>
      <c r="C36" s="220"/>
      <c r="D36" s="24" t="s">
        <v>39</v>
      </c>
      <c r="E36" s="24" t="s">
        <v>40</v>
      </c>
      <c r="F36" s="24" t="s">
        <v>41</v>
      </c>
      <c r="G36" s="24" t="s">
        <v>42</v>
      </c>
      <c r="H36" s="67" t="s">
        <v>43</v>
      </c>
      <c r="I36" s="24" t="s">
        <v>44</v>
      </c>
      <c r="J36" s="24" t="s">
        <v>45</v>
      </c>
      <c r="K36" s="24" t="s">
        <v>46</v>
      </c>
      <c r="L36" s="24" t="s">
        <v>47</v>
      </c>
      <c r="M36" s="67" t="s">
        <v>48</v>
      </c>
      <c r="N36" s="24" t="s">
        <v>49</v>
      </c>
      <c r="O36" s="24" t="s">
        <v>104</v>
      </c>
      <c r="P36" s="24" t="s">
        <v>105</v>
      </c>
      <c r="Q36" s="22" t="s">
        <v>97</v>
      </c>
      <c r="R36" s="69" t="s">
        <v>98</v>
      </c>
      <c r="S36" s="22" t="s">
        <v>99</v>
      </c>
      <c r="T36" s="22" t="s">
        <v>100</v>
      </c>
      <c r="U36" s="22" t="s">
        <v>101</v>
      </c>
      <c r="V36" s="22" t="s">
        <v>102</v>
      </c>
      <c r="W36" s="69" t="s">
        <v>103</v>
      </c>
    </row>
    <row r="37" spans="1:25" s="20" customFormat="1" outlineLevel="1" x14ac:dyDescent="0.25">
      <c r="A37" s="179"/>
      <c r="B37" s="221" t="s">
        <v>81</v>
      </c>
      <c r="C37" s="222"/>
      <c r="D37" s="34">
        <v>2281</v>
      </c>
      <c r="E37" s="34">
        <v>2282</v>
      </c>
      <c r="F37" s="34">
        <v>2283</v>
      </c>
      <c r="G37" s="34">
        <v>2284</v>
      </c>
      <c r="H37" s="153"/>
      <c r="I37" s="34">
        <v>2285</v>
      </c>
      <c r="J37" s="34">
        <v>2286</v>
      </c>
      <c r="K37" s="34">
        <v>2286</v>
      </c>
      <c r="L37" s="34">
        <v>2287</v>
      </c>
      <c r="M37" s="153">
        <f>L37</f>
        <v>2287</v>
      </c>
      <c r="N37" s="34">
        <v>2289</v>
      </c>
      <c r="O37" s="34">
        <v>2291</v>
      </c>
      <c r="P37" s="34">
        <f t="shared" ref="P37:Q37" si="32">+O37+P38</f>
        <v>2290</v>
      </c>
      <c r="Q37" s="34">
        <f t="shared" si="32"/>
        <v>2292</v>
      </c>
      <c r="R37" s="153">
        <f>Q37</f>
        <v>2292</v>
      </c>
      <c r="S37" s="34">
        <f>+Q37+S38</f>
        <v>2293</v>
      </c>
      <c r="T37" s="34">
        <f>+S37+T38</f>
        <v>2294</v>
      </c>
      <c r="U37" s="34">
        <f t="shared" ref="U37" si="33">+T37+U38</f>
        <v>2295</v>
      </c>
      <c r="V37" s="34">
        <f t="shared" ref="V37" si="34">+U37+V38</f>
        <v>2296</v>
      </c>
      <c r="W37" s="153">
        <f>V37</f>
        <v>2296</v>
      </c>
    </row>
    <row r="38" spans="1:25" outlineLevel="1" x14ac:dyDescent="0.25">
      <c r="A38" s="177"/>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69">
        <v>-1</v>
      </c>
      <c r="Q38" s="49">
        <v>2</v>
      </c>
      <c r="R38" s="191">
        <f>SUM(N38:Q38)</f>
        <v>5</v>
      </c>
      <c r="S38" s="49">
        <v>1</v>
      </c>
      <c r="T38" s="49">
        <v>1</v>
      </c>
      <c r="U38" s="49">
        <v>1</v>
      </c>
      <c r="V38" s="49">
        <v>1</v>
      </c>
      <c r="W38" s="42">
        <f>SUM(S38:V38)</f>
        <v>4</v>
      </c>
    </row>
    <row r="39" spans="1:25" s="122" customFormat="1" outlineLevel="1" x14ac:dyDescent="0.25">
      <c r="A39" s="182"/>
      <c r="B39" s="123" t="s">
        <v>54</v>
      </c>
      <c r="C39" s="124"/>
      <c r="D39" s="126">
        <v>2278</v>
      </c>
      <c r="E39" s="126">
        <v>2278</v>
      </c>
      <c r="F39" s="126">
        <v>2278</v>
      </c>
      <c r="G39" s="126">
        <v>2278</v>
      </c>
      <c r="H39" s="127">
        <f>AVERAGE(D39:G39)</f>
        <v>2278</v>
      </c>
      <c r="I39" s="126">
        <f>D37</f>
        <v>2281</v>
      </c>
      <c r="J39" s="126">
        <f>E37</f>
        <v>2282</v>
      </c>
      <c r="K39" s="126">
        <f>F37</f>
        <v>2283</v>
      </c>
      <c r="L39" s="126">
        <f>G37</f>
        <v>2284</v>
      </c>
      <c r="M39" s="127">
        <f>AVERAGE(I39:L39)</f>
        <v>2282.5</v>
      </c>
      <c r="N39" s="126">
        <f>I37</f>
        <v>2285</v>
      </c>
      <c r="O39" s="126">
        <f>J37</f>
        <v>2286</v>
      </c>
      <c r="P39" s="126">
        <f t="shared" ref="P39" si="37">K37</f>
        <v>2286</v>
      </c>
      <c r="Q39" s="126">
        <f>L37</f>
        <v>2287</v>
      </c>
      <c r="R39" s="127">
        <f>AVERAGE(N39:Q39)</f>
        <v>2286</v>
      </c>
      <c r="S39" s="126">
        <f>N37</f>
        <v>2289</v>
      </c>
      <c r="T39" s="126">
        <f t="shared" ref="T39" si="38">O37</f>
        <v>2291</v>
      </c>
      <c r="U39" s="126">
        <f t="shared" ref="U39" si="39">P37</f>
        <v>2290</v>
      </c>
      <c r="V39" s="126">
        <f>Q37</f>
        <v>2292</v>
      </c>
      <c r="W39" s="127">
        <f>AVERAGE(S39:V39)</f>
        <v>2290.5</v>
      </c>
    </row>
    <row r="40" spans="1:25" s="122" customFormat="1" outlineLevel="1" x14ac:dyDescent="0.25">
      <c r="A40" s="182"/>
      <c r="B40" s="123" t="s">
        <v>55</v>
      </c>
      <c r="C40" s="124"/>
      <c r="D40" s="163">
        <v>10.477565438414539</v>
      </c>
      <c r="E40" s="163">
        <v>12.338945366188232</v>
      </c>
      <c r="F40" s="163">
        <v>10.978759745425613</v>
      </c>
      <c r="G40" s="163">
        <v>10.502805820781584</v>
      </c>
      <c r="H40" s="131">
        <f>SUM(D40:G40)</f>
        <v>44.298076370809966</v>
      </c>
      <c r="I40" s="163">
        <v>11.243870807581272</v>
      </c>
      <c r="J40" s="163">
        <v>13.068968794428521</v>
      </c>
      <c r="K40" s="163">
        <v>11.474538198287984</v>
      </c>
      <c r="L40" s="163">
        <v>10.773426965048801</v>
      </c>
      <c r="M40" s="131">
        <f>SUM(I40:L40)</f>
        <v>46.560804765346575</v>
      </c>
      <c r="N40" s="163">
        <f>I40*(1+N46)</f>
        <v>11.524967577770804</v>
      </c>
      <c r="O40" s="163">
        <f>J40*(1+O46)</f>
        <v>13.461037858261378</v>
      </c>
      <c r="P40" s="163">
        <f>K40*(1+P46)</f>
        <v>11.887621573426353</v>
      </c>
      <c r="Q40" s="163">
        <f>L40*(1+Q46)</f>
        <v>11.365965448126484</v>
      </c>
      <c r="R40" s="131">
        <f>SUM(N40:Q40)</f>
        <v>48.239592457585019</v>
      </c>
      <c r="S40" s="163">
        <f>N40*(1+S46)</f>
        <v>12.040629095674969</v>
      </c>
      <c r="T40" s="163">
        <f>O40*(1+T46)</f>
        <v>13.976990859651611</v>
      </c>
      <c r="U40" s="163">
        <f>P40*(1+U46)</f>
        <v>12.307722158052268</v>
      </c>
      <c r="V40" s="163">
        <f>Q40*(1+V46)</f>
        <v>11.770911152918609</v>
      </c>
      <c r="W40" s="131">
        <f>SUM(S40:V40)</f>
        <v>50.09625326629746</v>
      </c>
    </row>
    <row r="41" spans="1:25" ht="17.25" outlineLevel="1" x14ac:dyDescent="0.4">
      <c r="A41" s="177"/>
      <c r="B41" s="165" t="s">
        <v>89</v>
      </c>
      <c r="C41" s="117"/>
      <c r="D41" s="48">
        <f>+(D37-D39)*D44-12</f>
        <v>19.416483998246381</v>
      </c>
      <c r="E41" s="48">
        <f>+(E37-E39)*E44-49</f>
        <v>0.26906222611744113</v>
      </c>
      <c r="F41" s="48">
        <f>+(F37-F39)*F44-38</f>
        <v>16.809461235216823</v>
      </c>
      <c r="G41" s="48">
        <f>+(G37-G39)*G44-105</f>
        <v>-42.260070052539405</v>
      </c>
      <c r="H41" s="164">
        <f>SUM(D41:G41)</f>
        <v>-5.7650625929587562</v>
      </c>
      <c r="I41" s="48">
        <f>+(I37-I39)*I44-744</f>
        <v>-700.3291028446389</v>
      </c>
      <c r="J41" s="48">
        <v>640</v>
      </c>
      <c r="K41" s="48">
        <f>250-144</f>
        <v>106</v>
      </c>
      <c r="L41" s="48">
        <f>+(L37-L39)*L44+1700+150</f>
        <v>1884.7498906864889</v>
      </c>
      <c r="M41" s="164">
        <f>SUM(I41:L41)</f>
        <v>1930.4207878418501</v>
      </c>
      <c r="N41" s="48">
        <f>+(N37-N39)*N44</f>
        <v>46.100480559196157</v>
      </c>
      <c r="O41" s="48">
        <f>+(O37-O39)*O44</f>
        <v>67.304670449585331</v>
      </c>
      <c r="P41" s="48">
        <f>+(P37-P39)*P44</f>
        <v>47.55109170305677</v>
      </c>
      <c r="Q41" s="48">
        <v>50</v>
      </c>
      <c r="R41" s="164">
        <f>SUM(N41:Q41)</f>
        <v>210.95624271183826</v>
      </c>
      <c r="S41" s="48">
        <v>50</v>
      </c>
      <c r="T41" s="48">
        <f>AVERAGE(S41,Q41,P41,O41)</f>
        <v>53.713940538160529</v>
      </c>
      <c r="U41" s="48">
        <f>AVERAGE(T41,S41,Q41,P41)</f>
        <v>50.316258060304321</v>
      </c>
      <c r="V41" s="48">
        <f>AVERAGE(U41,T41,S41,Q41)</f>
        <v>51.007549649616209</v>
      </c>
      <c r="W41" s="164">
        <f>SUM(S41:V41)</f>
        <v>205.03774824808104</v>
      </c>
    </row>
    <row r="42" spans="1:25" s="20" customFormat="1" outlineLevel="1" x14ac:dyDescent="0.25">
      <c r="A42" s="179"/>
      <c r="B42" s="223" t="s">
        <v>90</v>
      </c>
      <c r="C42" s="224"/>
      <c r="D42" s="34">
        <f t="shared" ref="D42:M42" si="40">+D14</f>
        <v>23887</v>
      </c>
      <c r="E42" s="34">
        <f t="shared" si="40"/>
        <v>28108</v>
      </c>
      <c r="F42" s="34">
        <f t="shared" si="40"/>
        <v>25026</v>
      </c>
      <c r="G42" s="34">
        <f t="shared" si="40"/>
        <v>23883</v>
      </c>
      <c r="H42" s="153">
        <f t="shared" si="40"/>
        <v>100904</v>
      </c>
      <c r="I42" s="34">
        <f t="shared" si="40"/>
        <v>24947</v>
      </c>
      <c r="J42" s="34">
        <f t="shared" si="40"/>
        <v>30463</v>
      </c>
      <c r="K42" s="34">
        <f t="shared" si="40"/>
        <v>26302</v>
      </c>
      <c r="L42" s="34">
        <f>+L14</f>
        <v>26491</v>
      </c>
      <c r="M42" s="153">
        <f t="shared" si="40"/>
        <v>108203</v>
      </c>
      <c r="N42" s="34">
        <f>+N14</f>
        <v>26381</v>
      </c>
      <c r="O42" s="34">
        <f>+O14</f>
        <v>30839</v>
      </c>
      <c r="P42" s="34">
        <f>+P14</f>
        <v>27223</v>
      </c>
      <c r="Q42" s="34">
        <f>+Q39*Q40+Q41</f>
        <v>26043.962979865271</v>
      </c>
      <c r="R42" s="153">
        <f>+R14</f>
        <v>110486.96297986527</v>
      </c>
      <c r="S42" s="34">
        <f>+S39*S40+S41</f>
        <v>27611.000000000004</v>
      </c>
      <c r="T42" s="34">
        <f>+T39*T40+T41</f>
        <v>32075</v>
      </c>
      <c r="U42" s="34">
        <f>+U39*U40+U41</f>
        <v>28235</v>
      </c>
      <c r="V42" s="34">
        <f>+V39*V40+V41</f>
        <v>27029.93591213907</v>
      </c>
      <c r="W42" s="153">
        <f>+W14</f>
        <v>114950.93591213907</v>
      </c>
    </row>
    <row r="43" spans="1:25" s="20" customFormat="1" outlineLevel="1" x14ac:dyDescent="0.25">
      <c r="A43" s="179"/>
      <c r="B43" s="144" t="s">
        <v>92</v>
      </c>
      <c r="C43" s="145"/>
      <c r="D43" s="34"/>
      <c r="E43" s="34"/>
      <c r="F43" s="34"/>
      <c r="G43" s="34"/>
      <c r="H43" s="153"/>
      <c r="I43" s="135">
        <f>+I42/D42-1</f>
        <v>4.4375601791769581E-2</v>
      </c>
      <c r="J43" s="135">
        <f t="shared" ref="J43:Q43" si="41">+J42/E42-1</f>
        <v>8.3783976092215662E-2</v>
      </c>
      <c r="K43" s="135">
        <f t="shared" si="41"/>
        <v>5.0986973547510583E-2</v>
      </c>
      <c r="L43" s="135">
        <f t="shared" si="41"/>
        <v>0.10919901184943259</v>
      </c>
      <c r="M43" s="148">
        <f t="shared" si="41"/>
        <v>7.2336081820344011E-2</v>
      </c>
      <c r="N43" s="135">
        <f t="shared" si="41"/>
        <v>5.7481861546478497E-2</v>
      </c>
      <c r="O43" s="135">
        <f t="shared" si="41"/>
        <v>1.2342842136362053E-2</v>
      </c>
      <c r="P43" s="135">
        <f t="shared" si="41"/>
        <v>3.5016348566648814E-2</v>
      </c>
      <c r="Q43" s="135">
        <f t="shared" si="41"/>
        <v>-1.6875052664479639E-2</v>
      </c>
      <c r="R43" s="202">
        <f>+R42/M42-1</f>
        <v>2.1108129902731587E-2</v>
      </c>
      <c r="S43" s="203">
        <f t="shared" ref="S43" si="42">+S42/N42-1</f>
        <v>4.6624464576778823E-2</v>
      </c>
      <c r="T43" s="203">
        <f t="shared" ref="T43" si="43">+T42/O42-1</f>
        <v>4.0079120594052942E-2</v>
      </c>
      <c r="U43" s="203">
        <f t="shared" ref="U43" si="44">+U42/P42-1</f>
        <v>3.7174448076993771E-2</v>
      </c>
      <c r="V43" s="203">
        <f t="shared" ref="V43" si="45">+V42/Q42-1</f>
        <v>3.785802233846125E-2</v>
      </c>
      <c r="W43" s="204">
        <f t="shared" ref="W43" si="46">+W42/R42-1</f>
        <v>4.0402711884544251E-2</v>
      </c>
    </row>
    <row r="44" spans="1:25" s="20" customFormat="1" outlineLevel="1" x14ac:dyDescent="0.25">
      <c r="A44" s="179"/>
      <c r="B44" s="128" t="s">
        <v>91</v>
      </c>
      <c r="C44" s="61"/>
      <c r="D44" s="130">
        <f>+D42/D37</f>
        <v>10.472161332748794</v>
      </c>
      <c r="E44" s="130">
        <f>+E42/E37</f>
        <v>12.31726555652936</v>
      </c>
      <c r="F44" s="130">
        <f>+F42/F37</f>
        <v>10.961892247043364</v>
      </c>
      <c r="G44" s="130">
        <f>+G42/G37</f>
        <v>10.456654991243433</v>
      </c>
      <c r="H44" s="131"/>
      <c r="I44" s="130">
        <f>+I42/I37</f>
        <v>10.917724288840263</v>
      </c>
      <c r="J44" s="130">
        <f>+J42/J37</f>
        <v>13.325896762904637</v>
      </c>
      <c r="K44" s="130">
        <f>+K42/K37</f>
        <v>11.505686789151357</v>
      </c>
      <c r="L44" s="130">
        <f>+L42/L37</f>
        <v>11.583296895496284</v>
      </c>
      <c r="M44" s="133"/>
      <c r="N44" s="132">
        <f>+N42/N37</f>
        <v>11.525120139799039</v>
      </c>
      <c r="O44" s="132">
        <f>+O42/O37</f>
        <v>13.460934089917068</v>
      </c>
      <c r="P44" s="132">
        <f>+P42/P37</f>
        <v>11.887772925764192</v>
      </c>
      <c r="Q44" s="132">
        <f>+Q42/Q37</f>
        <v>11.362985593309455</v>
      </c>
      <c r="R44" s="121"/>
      <c r="S44" s="132">
        <f>+S42/S37</f>
        <v>12.041430440471</v>
      </c>
      <c r="T44" s="132">
        <f>+T42/T37</f>
        <v>13.982127288578901</v>
      </c>
      <c r="U44" s="132">
        <f>+U42/U37</f>
        <v>12.302832244008714</v>
      </c>
      <c r="V44" s="132">
        <f>+V42/V37</f>
        <v>11.772620170792278</v>
      </c>
      <c r="W44" s="121"/>
    </row>
    <row r="45" spans="1:25" s="122" customFormat="1" outlineLevel="1" x14ac:dyDescent="0.25">
      <c r="A45" s="182"/>
      <c r="B45" s="128" t="s">
        <v>56</v>
      </c>
      <c r="C45" s="129"/>
      <c r="D45" s="125">
        <f>ROUND((+D42-D41-(D39*D40)),0)</f>
        <v>0</v>
      </c>
      <c r="E45" s="125">
        <f>ROUND((+E42-E41-(E39*E40)),0)</f>
        <v>0</v>
      </c>
      <c r="F45" s="125">
        <f>ROUND((+F42-F41-(F39*F40)),0)</f>
        <v>0</v>
      </c>
      <c r="G45" s="125">
        <f>ROUND((+G42-G41-(G39*G40)),0)</f>
        <v>0</v>
      </c>
      <c r="H45" s="127"/>
      <c r="I45" s="125">
        <f>ROUND((+I42-I41-(I39*I40)),0)</f>
        <v>0</v>
      </c>
      <c r="J45" s="125">
        <f>ROUND((+J42-J41-(J39*J40)),0)</f>
        <v>0</v>
      </c>
      <c r="K45" s="125">
        <f>ROUND((+K42-K41-(K39*K40)),0)</f>
        <v>0</v>
      </c>
      <c r="L45" s="125">
        <f>ROUND((+L42-L41-(L39*L40)),0)</f>
        <v>0</v>
      </c>
      <c r="M45" s="127"/>
      <c r="N45" s="125">
        <f>ROUND((+N42-N41-(N39*N40)),0)</f>
        <v>0</v>
      </c>
      <c r="O45" s="130">
        <f>ROUND((+O42-O41-(O39*O40)),0)</f>
        <v>0</v>
      </c>
      <c r="P45" s="130">
        <f>ROUND((+P42-P41-(P39*P40)),0)</f>
        <v>0</v>
      </c>
      <c r="Q45" s="130">
        <f>ROUND((+Q42-Q41-(Q39*Q40)),0)</f>
        <v>0</v>
      </c>
      <c r="R45" s="131"/>
      <c r="S45" s="125">
        <f>ROUND((+S42-S41-(S39*S40)),0)</f>
        <v>0</v>
      </c>
      <c r="T45" s="130">
        <f>ROUND((+T42-T41-(T39*T40)),0)</f>
        <v>0</v>
      </c>
      <c r="U45" s="130">
        <f>ROUND((+U42-U41-(U39*U40)),0)</f>
        <v>0</v>
      </c>
      <c r="V45" s="130">
        <f>ROUND((+V42-V41-(V39*V40)),0)</f>
        <v>0</v>
      </c>
      <c r="W45" s="131"/>
    </row>
    <row r="46" spans="1:25" s="20" customFormat="1" outlineLevel="1" x14ac:dyDescent="0.25">
      <c r="A46" s="179"/>
      <c r="B46" s="154" t="s">
        <v>83</v>
      </c>
      <c r="C46" s="146"/>
      <c r="D46" s="155">
        <v>5.5E-2</v>
      </c>
      <c r="E46" s="155">
        <v>6.3E-2</v>
      </c>
      <c r="F46" s="155">
        <v>7.9000000000000001E-2</v>
      </c>
      <c r="G46" s="155">
        <v>7.4999999999999997E-2</v>
      </c>
      <c r="H46" s="156">
        <v>6.8000000000000005E-2</v>
      </c>
      <c r="I46" s="155">
        <v>4.2000000000000003E-2</v>
      </c>
      <c r="J46" s="155">
        <v>0.08</v>
      </c>
      <c r="K46" s="155">
        <v>4.8000000000000001E-2</v>
      </c>
      <c r="L46" s="155">
        <v>3.2000000000000001E-2</v>
      </c>
      <c r="M46" s="180">
        <f>+M40/H40-1</f>
        <v>5.1079608414500433E-2</v>
      </c>
      <c r="N46" s="181">
        <v>2.5000000000000001E-2</v>
      </c>
      <c r="O46" s="181">
        <v>0.03</v>
      </c>
      <c r="P46" s="181">
        <v>3.5999999999999997E-2</v>
      </c>
      <c r="Q46" s="200">
        <v>5.5E-2</v>
      </c>
      <c r="R46" s="180">
        <f>+R40/M40-1</f>
        <v>3.6055813483015786E-2</v>
      </c>
      <c r="S46" s="157">
        <v>4.474299076543746E-2</v>
      </c>
      <c r="T46" s="157">
        <v>3.8329362625897388E-2</v>
      </c>
      <c r="U46" s="157">
        <v>3.5339330246263082E-2</v>
      </c>
      <c r="V46" s="157">
        <v>3.5627919743401536E-2</v>
      </c>
      <c r="W46" s="180">
        <f>+W40/R40-1</f>
        <v>3.8488318705115931E-2</v>
      </c>
    </row>
    <row r="47" spans="1:25" s="20" customFormat="1" outlineLevel="1" x14ac:dyDescent="0.25">
      <c r="A47" s="179"/>
      <c r="B47" s="41" t="s">
        <v>86</v>
      </c>
      <c r="C47" s="143"/>
      <c r="D47" s="178">
        <v>380.8</v>
      </c>
      <c r="E47" s="178">
        <v>441.8</v>
      </c>
      <c r="F47" s="178">
        <v>389.5</v>
      </c>
      <c r="G47" s="178">
        <v>366.5</v>
      </c>
      <c r="H47" s="47">
        <v>1578.6</v>
      </c>
      <c r="I47" s="178">
        <v>375.9</v>
      </c>
      <c r="J47" s="178">
        <v>455.4</v>
      </c>
      <c r="K47" s="178">
        <v>394.8</v>
      </c>
      <c r="L47" s="178">
        <v>394.8</v>
      </c>
      <c r="M47" s="47">
        <v>1620.8</v>
      </c>
      <c r="N47" s="178">
        <v>390</v>
      </c>
      <c r="O47" s="39">
        <v>455.5</v>
      </c>
      <c r="P47" s="39">
        <v>400.9</v>
      </c>
      <c r="Q47" s="37"/>
      <c r="R47" s="151"/>
      <c r="S47" s="37"/>
      <c r="T47" s="37"/>
      <c r="U47" s="37"/>
      <c r="V47" s="37"/>
      <c r="W47" s="151"/>
      <c r="X47" s="152"/>
      <c r="Y47" s="152"/>
    </row>
    <row r="48" spans="1:25" s="20" customFormat="1" outlineLevel="1" x14ac:dyDescent="0.25">
      <c r="A48" s="179"/>
      <c r="B48" s="64" t="s">
        <v>84</v>
      </c>
      <c r="C48" s="143"/>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row>
    <row r="49" spans="1:23" s="20" customFormat="1" outlineLevel="1" x14ac:dyDescent="0.25">
      <c r="A49" s="179"/>
      <c r="B49" s="41" t="s">
        <v>87</v>
      </c>
      <c r="C49" s="143"/>
      <c r="D49" s="39">
        <v>62.39</v>
      </c>
      <c r="E49" s="39">
        <v>63.05</v>
      </c>
      <c r="F49" s="39">
        <v>62.84</v>
      </c>
      <c r="G49" s="39">
        <v>64</v>
      </c>
      <c r="H49" s="142">
        <v>63.06</v>
      </c>
      <c r="I49" s="39">
        <v>66.02</v>
      </c>
      <c r="J49" s="39">
        <v>66.2</v>
      </c>
      <c r="K49" s="39">
        <v>65.11</v>
      </c>
      <c r="L49" s="39">
        <v>65.59</v>
      </c>
      <c r="M49" s="142">
        <v>65.739999999999995</v>
      </c>
      <c r="N49" s="39">
        <v>67.31</v>
      </c>
      <c r="O49" s="39">
        <v>67.31</v>
      </c>
      <c r="P49" s="39">
        <v>66.36</v>
      </c>
      <c r="Q49" s="37"/>
      <c r="R49" s="151"/>
      <c r="S49" s="37"/>
      <c r="T49" s="37"/>
      <c r="U49" s="37"/>
      <c r="V49" s="37"/>
      <c r="W49" s="151"/>
    </row>
    <row r="50" spans="1:23" s="20" customFormat="1" outlineLevel="1" x14ac:dyDescent="0.25">
      <c r="A50" s="179"/>
      <c r="B50" s="64" t="s">
        <v>85</v>
      </c>
      <c r="C50" s="143"/>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186"/>
      <c r="V50" s="34"/>
      <c r="W50" s="120"/>
    </row>
    <row r="51" spans="1:23" s="20" customFormat="1" outlineLevel="1" x14ac:dyDescent="0.25">
      <c r="A51" s="179"/>
      <c r="B51" s="158" t="s">
        <v>82</v>
      </c>
      <c r="C51" s="159"/>
      <c r="D51" s="160">
        <v>394.17</v>
      </c>
      <c r="E51" s="160">
        <v>464.38</v>
      </c>
      <c r="F51" s="160">
        <v>412.49</v>
      </c>
      <c r="G51" s="160">
        <v>394.87</v>
      </c>
      <c r="H51" s="161">
        <v>417.02</v>
      </c>
      <c r="I51" s="160">
        <v>412.03</v>
      </c>
      <c r="J51" s="160">
        <v>504.2</v>
      </c>
      <c r="K51" s="160">
        <v>433.99</v>
      </c>
      <c r="L51" s="160">
        <v>414.17</v>
      </c>
      <c r="M51" s="161">
        <v>446.86</v>
      </c>
      <c r="N51" s="160">
        <v>435.18</v>
      </c>
      <c r="O51" s="188">
        <v>509.55</v>
      </c>
      <c r="P51" s="188">
        <v>449.17</v>
      </c>
      <c r="Q51" s="134"/>
      <c r="R51" s="162"/>
      <c r="S51" s="134"/>
      <c r="T51" s="134"/>
      <c r="U51" s="134"/>
      <c r="V51" s="134"/>
      <c r="W51" s="162"/>
    </row>
    <row r="52" spans="1:23" ht="18" x14ac:dyDescent="0.4">
      <c r="A52" s="177"/>
      <c r="B52" s="213" t="s">
        <v>37</v>
      </c>
      <c r="C52" s="214"/>
      <c r="D52" s="24" t="s">
        <v>39</v>
      </c>
      <c r="E52" s="24" t="s">
        <v>40</v>
      </c>
      <c r="F52" s="24" t="s">
        <v>41</v>
      </c>
      <c r="G52" s="24" t="s">
        <v>42</v>
      </c>
      <c r="H52" s="67" t="s">
        <v>43</v>
      </c>
      <c r="I52" s="24" t="s">
        <v>44</v>
      </c>
      <c r="J52" s="24" t="s">
        <v>45</v>
      </c>
      <c r="K52" s="24" t="s">
        <v>46</v>
      </c>
      <c r="L52" s="24" t="s">
        <v>47</v>
      </c>
      <c r="M52" s="67" t="s">
        <v>48</v>
      </c>
      <c r="N52" s="24" t="s">
        <v>49</v>
      </c>
      <c r="O52" s="24" t="s">
        <v>104</v>
      </c>
      <c r="P52" s="24" t="s">
        <v>105</v>
      </c>
      <c r="Q52" s="22" t="s">
        <v>97</v>
      </c>
      <c r="R52" s="69" t="s">
        <v>98</v>
      </c>
      <c r="S52" s="22" t="s">
        <v>99</v>
      </c>
      <c r="T52" s="22" t="s">
        <v>100</v>
      </c>
      <c r="U52" s="22" t="s">
        <v>101</v>
      </c>
      <c r="V52" s="22" t="s">
        <v>102</v>
      </c>
      <c r="W52" s="69" t="s">
        <v>103</v>
      </c>
    </row>
    <row r="53" spans="1:23" s="136" customFormat="1" ht="15.6" customHeight="1" x14ac:dyDescent="0.25">
      <c r="A53" s="183"/>
      <c r="B53" s="123" t="s">
        <v>95</v>
      </c>
      <c r="C53" s="137"/>
      <c r="D53" s="125">
        <f t="shared" ref="D53:W53" si="47">+D42-D14</f>
        <v>0</v>
      </c>
      <c r="E53" s="125">
        <f t="shared" si="47"/>
        <v>0</v>
      </c>
      <c r="F53" s="125">
        <f t="shared" si="47"/>
        <v>0</v>
      </c>
      <c r="G53" s="125">
        <f t="shared" si="47"/>
        <v>0</v>
      </c>
      <c r="H53" s="127">
        <f t="shared" si="47"/>
        <v>0</v>
      </c>
      <c r="I53" s="125">
        <f t="shared" si="47"/>
        <v>0</v>
      </c>
      <c r="J53" s="125">
        <f t="shared" si="47"/>
        <v>0</v>
      </c>
      <c r="K53" s="125">
        <f t="shared" si="47"/>
        <v>0</v>
      </c>
      <c r="L53" s="125">
        <f t="shared" si="47"/>
        <v>0</v>
      </c>
      <c r="M53" s="127">
        <f t="shared" si="47"/>
        <v>0</v>
      </c>
      <c r="N53" s="125">
        <f t="shared" si="47"/>
        <v>0</v>
      </c>
      <c r="O53" s="125">
        <f t="shared" si="47"/>
        <v>0</v>
      </c>
      <c r="P53" s="125">
        <f t="shared" si="47"/>
        <v>0</v>
      </c>
      <c r="Q53" s="125">
        <f t="shared" si="47"/>
        <v>0</v>
      </c>
      <c r="R53" s="127">
        <f t="shared" si="47"/>
        <v>0</v>
      </c>
      <c r="S53" s="125">
        <f t="shared" si="47"/>
        <v>0</v>
      </c>
      <c r="T53" s="125">
        <f t="shared" si="47"/>
        <v>0</v>
      </c>
      <c r="U53" s="125">
        <f t="shared" si="47"/>
        <v>0</v>
      </c>
      <c r="V53" s="125">
        <f t="shared" si="47"/>
        <v>0</v>
      </c>
      <c r="W53" s="127">
        <f t="shared" si="47"/>
        <v>0</v>
      </c>
    </row>
    <row r="54" spans="1:23" ht="15" customHeight="1" x14ac:dyDescent="0.4">
      <c r="A54" s="177"/>
      <c r="B54" s="213" t="s">
        <v>15</v>
      </c>
      <c r="C54" s="214"/>
      <c r="D54" s="24" t="s">
        <v>39</v>
      </c>
      <c r="E54" s="24" t="s">
        <v>40</v>
      </c>
      <c r="F54" s="24" t="s">
        <v>41</v>
      </c>
      <c r="G54" s="24" t="s">
        <v>42</v>
      </c>
      <c r="H54" s="67" t="s">
        <v>43</v>
      </c>
      <c r="I54" s="24" t="s">
        <v>44</v>
      </c>
      <c r="J54" s="24" t="s">
        <v>45</v>
      </c>
      <c r="K54" s="24" t="s">
        <v>46</v>
      </c>
      <c r="L54" s="24" t="s">
        <v>47</v>
      </c>
      <c r="M54" s="67" t="s">
        <v>48</v>
      </c>
      <c r="N54" s="24" t="s">
        <v>49</v>
      </c>
      <c r="O54" s="24" t="s">
        <v>104</v>
      </c>
      <c r="P54" s="24" t="s">
        <v>105</v>
      </c>
      <c r="Q54" s="22" t="s">
        <v>97</v>
      </c>
      <c r="R54" s="69" t="s">
        <v>98</v>
      </c>
      <c r="S54" s="22" t="s">
        <v>99</v>
      </c>
      <c r="T54" s="22" t="s">
        <v>100</v>
      </c>
      <c r="U54" s="22" t="s">
        <v>101</v>
      </c>
      <c r="V54" s="22" t="s">
        <v>102</v>
      </c>
      <c r="W54" s="69" t="s">
        <v>103</v>
      </c>
    </row>
    <row r="55" spans="1:23" s="36" customFormat="1" outlineLevel="1" x14ac:dyDescent="0.25">
      <c r="A55" s="184"/>
      <c r="B55" s="211" t="s">
        <v>93</v>
      </c>
      <c r="C55" s="212"/>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0.34</v>
      </c>
      <c r="R55" s="185">
        <f>(R16/R14)</f>
        <v>0.34113479451890488</v>
      </c>
      <c r="S55" s="50">
        <v>0.34</v>
      </c>
      <c r="T55" s="50">
        <v>0.33600000000000002</v>
      </c>
      <c r="U55" s="50">
        <v>0.34360000000000002</v>
      </c>
      <c r="V55" s="50">
        <f>Q55</f>
        <v>0.34</v>
      </c>
      <c r="W55" s="46">
        <f>(W16/W14)</f>
        <v>0.3397681271597443</v>
      </c>
    </row>
    <row r="56" spans="1:23" s="36" customFormat="1" outlineLevel="1" x14ac:dyDescent="0.25">
      <c r="A56" s="184"/>
      <c r="B56" s="58" t="s">
        <v>94</v>
      </c>
      <c r="C56" s="59"/>
      <c r="D56" s="44">
        <f t="shared" ref="D56:O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P17/P14</f>
        <v>0.18153767035227564</v>
      </c>
      <c r="Q56" s="201">
        <v>0.1825</v>
      </c>
      <c r="R56" s="185"/>
      <c r="S56" s="50">
        <v>0.18438641479258872</v>
      </c>
      <c r="T56" s="50">
        <v>0.1607004258910594</v>
      </c>
      <c r="U56" s="50">
        <v>0.17799999999999999</v>
      </c>
      <c r="V56" s="50">
        <v>0.183</v>
      </c>
      <c r="W56" s="46"/>
    </row>
    <row r="57" spans="1:23" s="36" customFormat="1" outlineLevel="1" x14ac:dyDescent="0.25">
      <c r="A57" s="184"/>
      <c r="B57" s="211" t="s">
        <v>4</v>
      </c>
      <c r="C57" s="212"/>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0.13464919472469444</v>
      </c>
      <c r="R57" s="185">
        <f t="shared" si="50"/>
        <v>0.14433194842711625</v>
      </c>
      <c r="S57" s="44">
        <f t="shared" si="50"/>
        <v>0.13454891474640673</v>
      </c>
      <c r="T57" s="44">
        <f t="shared" si="50"/>
        <v>0.15676680610049118</v>
      </c>
      <c r="U57" s="44">
        <f t="shared" si="50"/>
        <v>0.14403560740175872</v>
      </c>
      <c r="V57" s="44">
        <f t="shared" si="50"/>
        <v>0.13459259802049323</v>
      </c>
      <c r="W57" s="185">
        <f t="shared" si="50"/>
        <v>0.14308887469206069</v>
      </c>
    </row>
    <row r="58" spans="1:23" s="36" customFormat="1" outlineLevel="1" x14ac:dyDescent="0.25">
      <c r="A58" s="184"/>
      <c r="B58" s="211" t="s">
        <v>2</v>
      </c>
      <c r="C58" s="212"/>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85">
        <f>R27/R26</f>
        <v>0.24717502771160046</v>
      </c>
      <c r="S58" s="50">
        <v>0.25</v>
      </c>
      <c r="T58" s="50">
        <v>0.25</v>
      </c>
      <c r="U58" s="50">
        <v>0.25</v>
      </c>
      <c r="V58" s="50">
        <v>0.25</v>
      </c>
      <c r="W58" s="46">
        <f>W27/W26</f>
        <v>0.25000000000000017</v>
      </c>
    </row>
    <row r="59" spans="1:23" s="36" customFormat="1" hidden="1" outlineLevel="1" x14ac:dyDescent="0.25">
      <c r="A59" s="184"/>
      <c r="B59" s="211"/>
      <c r="C59" s="212"/>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25">
      <c r="A60" s="184"/>
      <c r="B60" s="211"/>
      <c r="C60" s="212"/>
      <c r="D60" s="44"/>
      <c r="E60" s="44"/>
      <c r="F60" s="44"/>
      <c r="G60" s="44"/>
      <c r="H60" s="46"/>
      <c r="I60" s="44"/>
      <c r="J60" s="44"/>
      <c r="K60" s="44"/>
      <c r="L60" s="44"/>
      <c r="M60" s="46"/>
      <c r="N60" s="44"/>
      <c r="O60" s="44"/>
      <c r="P60" s="44"/>
      <c r="Q60" s="50"/>
      <c r="R60" s="46"/>
      <c r="S60" s="50"/>
      <c r="T60" s="50"/>
      <c r="U60" s="50"/>
      <c r="V60" s="50"/>
      <c r="W60" s="46"/>
    </row>
    <row r="61" spans="1:23" ht="18" x14ac:dyDescent="0.4">
      <c r="A61" s="177"/>
      <c r="B61" s="213" t="s">
        <v>57</v>
      </c>
      <c r="C61" s="214"/>
      <c r="D61" s="24" t="s">
        <v>39</v>
      </c>
      <c r="E61" s="24" t="s">
        <v>40</v>
      </c>
      <c r="F61" s="24" t="s">
        <v>41</v>
      </c>
      <c r="G61" s="24" t="s">
        <v>42</v>
      </c>
      <c r="H61" s="67" t="s">
        <v>43</v>
      </c>
      <c r="I61" s="24" t="s">
        <v>44</v>
      </c>
      <c r="J61" s="24" t="s">
        <v>45</v>
      </c>
      <c r="K61" s="24" t="s">
        <v>46</v>
      </c>
      <c r="L61" s="24" t="s">
        <v>47</v>
      </c>
      <c r="M61" s="67" t="s">
        <v>48</v>
      </c>
      <c r="N61" s="24" t="s">
        <v>49</v>
      </c>
      <c r="O61" s="24" t="s">
        <v>104</v>
      </c>
      <c r="P61" s="24" t="s">
        <v>105</v>
      </c>
      <c r="Q61" s="22" t="s">
        <v>97</v>
      </c>
      <c r="R61" s="69" t="s">
        <v>98</v>
      </c>
      <c r="S61" s="22" t="s">
        <v>99</v>
      </c>
      <c r="T61" s="22" t="s">
        <v>100</v>
      </c>
      <c r="U61" s="22" t="s">
        <v>101</v>
      </c>
      <c r="V61" s="22" t="s">
        <v>102</v>
      </c>
      <c r="W61" s="69" t="s">
        <v>103</v>
      </c>
    </row>
    <row r="62" spans="1:23" outlineLevel="1" x14ac:dyDescent="0.25">
      <c r="A62" s="177"/>
      <c r="B62" s="211" t="s">
        <v>11</v>
      </c>
      <c r="C62" s="212"/>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25">
      <c r="A63" s="177"/>
      <c r="B63" s="211" t="s">
        <v>12</v>
      </c>
      <c r="C63" s="212"/>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25">
      <c r="A64" s="177"/>
      <c r="B64" s="211" t="s">
        <v>5</v>
      </c>
      <c r="C64" s="212"/>
      <c r="D64" s="51">
        <v>147.72</v>
      </c>
      <c r="E64" s="51">
        <v>152.74</v>
      </c>
      <c r="F64" s="51">
        <v>154.91</v>
      </c>
      <c r="G64" s="51">
        <v>192</v>
      </c>
      <c r="H64" s="54"/>
      <c r="I64" s="51">
        <v>178.82</v>
      </c>
      <c r="J64" s="51">
        <v>185.52</v>
      </c>
      <c r="K64" s="51">
        <v>198.48</v>
      </c>
      <c r="L64" s="175">
        <v>174.78</v>
      </c>
      <c r="M64" s="54"/>
      <c r="N64" s="175">
        <v>191.75</v>
      </c>
      <c r="O64" s="51">
        <v>203.43</v>
      </c>
      <c r="P64" s="175">
        <v>222.49</v>
      </c>
      <c r="Q64" s="53">
        <f>+P64</f>
        <v>222.49</v>
      </c>
      <c r="R64" s="52"/>
      <c r="S64" s="53">
        <f>+Q64</f>
        <v>222.49</v>
      </c>
      <c r="T64" s="53">
        <f>+S64</f>
        <v>222.49</v>
      </c>
      <c r="U64" s="53">
        <f>+T64</f>
        <v>222.49</v>
      </c>
      <c r="V64" s="53">
        <f>+U64</f>
        <v>222.49</v>
      </c>
      <c r="W64" s="52"/>
    </row>
    <row r="65" spans="1:23" outlineLevel="1" x14ac:dyDescent="0.25">
      <c r="A65" s="177"/>
      <c r="B65" s="211" t="s">
        <v>6</v>
      </c>
      <c r="C65" s="212"/>
      <c r="D65" s="26">
        <v>1361.36344164</v>
      </c>
      <c r="E65" s="26">
        <v>2643.0196805600003</v>
      </c>
      <c r="F65" s="26">
        <v>1917.7514099799998</v>
      </c>
      <c r="G65" s="26">
        <v>2205.011328</v>
      </c>
      <c r="H65" s="27">
        <f>SUM(D65:G65)</f>
        <v>8127.1458601800005</v>
      </c>
      <c r="I65" s="26">
        <v>889.64416323999978</v>
      </c>
      <c r="J65" s="26">
        <v>1885.8211891199999</v>
      </c>
      <c r="K65" s="26">
        <v>2707.8269135999999</v>
      </c>
      <c r="L65" s="169">
        <v>4511.8542900599996</v>
      </c>
      <c r="M65" s="27">
        <f>SUM(I65:L65)</f>
        <v>9995.1465560199977</v>
      </c>
      <c r="N65" s="169">
        <v>1348.3821649999998</v>
      </c>
      <c r="O65" s="26">
        <v>1253.0209820999999</v>
      </c>
      <c r="P65" s="169">
        <v>1153.6822917800002</v>
      </c>
      <c r="Q65" s="49">
        <v>1200</v>
      </c>
      <c r="R65" s="189">
        <f>+SUM(N65:Q65)</f>
        <v>4955.0854388799999</v>
      </c>
      <c r="S65" s="49">
        <v>500</v>
      </c>
      <c r="T65" s="49">
        <v>500</v>
      </c>
      <c r="U65" s="49">
        <v>500</v>
      </c>
      <c r="V65" s="49">
        <v>500</v>
      </c>
      <c r="W65" s="27">
        <f>+SUM(S65:V65)</f>
        <v>2000</v>
      </c>
    </row>
    <row r="66" spans="1:23" outlineLevel="1" x14ac:dyDescent="0.25">
      <c r="A66" s="177"/>
      <c r="B66" s="237" t="s">
        <v>16</v>
      </c>
      <c r="C66" s="238"/>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6">
        <f>IF((L65)&gt;0,(L65/L64),0)</f>
        <v>25.814476999999997</v>
      </c>
      <c r="M66" s="108">
        <f>+SUM(I66:L66)</f>
        <v>54.59743499999999</v>
      </c>
      <c r="N66" s="176">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25">
      <c r="B67" s="19"/>
      <c r="C67" s="19"/>
      <c r="E67" s="70"/>
      <c r="F67" s="70"/>
      <c r="G67" s="70"/>
      <c r="H67" s="70"/>
      <c r="I67" s="70"/>
      <c r="J67" s="70"/>
      <c r="K67" s="70"/>
      <c r="L67" s="70"/>
      <c r="M67" s="70"/>
      <c r="N67" s="147"/>
      <c r="P67" s="3"/>
      <c r="Q67" s="3"/>
      <c r="R67" s="70"/>
      <c r="U67" s="3"/>
      <c r="V67" s="3"/>
      <c r="W67" s="70"/>
    </row>
  </sheetData>
  <dataConsolidate/>
  <mergeCells count="34">
    <mergeCell ref="B66:C66"/>
    <mergeCell ref="B65:C65"/>
    <mergeCell ref="B54:C54"/>
    <mergeCell ref="B55:C55"/>
    <mergeCell ref="B61:C61"/>
    <mergeCell ref="B64:C64"/>
    <mergeCell ref="B2:C2"/>
    <mergeCell ref="B59:C59"/>
    <mergeCell ref="B25:C25"/>
    <mergeCell ref="B3:C3"/>
    <mergeCell ref="B4:C4"/>
    <mergeCell ref="B5:C5"/>
    <mergeCell ref="B13:C13"/>
    <mergeCell ref="B32:C32"/>
    <mergeCell ref="B31:C31"/>
    <mergeCell ref="B30:C30"/>
    <mergeCell ref="B29:C29"/>
    <mergeCell ref="B28:C28"/>
    <mergeCell ref="B14:C1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107</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39"/>
      <c r="I7" s="239"/>
      <c r="J7" s="239"/>
      <c r="K7" s="239"/>
      <c r="L7" s="239"/>
      <c r="M7" s="239"/>
      <c r="N7" s="239"/>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194" t="s">
        <v>106</v>
      </c>
      <c r="C1" s="194"/>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2020-02-17T18:58:14Z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