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E5323E7D-BF8B-494A-BDEF-80514CE888B8}" xr6:coauthVersionLast="45" xr6:coauthVersionMax="45" xr10:uidLastSave="{00000000-0000-0000-0000-000000000000}"/>
  <bookViews>
    <workbookView xWindow="1635" yWindow="2400" windowWidth="28605" windowHeight="15630"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0" i="3" l="1"/>
  <c r="Q39" i="3"/>
  <c r="Q42" i="3"/>
  <c r="P37" i="3"/>
  <c r="Q37" i="3"/>
  <c r="Q44" i="3"/>
  <c r="L42" i="3"/>
  <c r="Q43" i="3"/>
  <c r="Q45" i="3"/>
  <c r="Q14" i="3"/>
  <c r="R14" i="3"/>
  <c r="Q15"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indexed="81"/>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rgb="FF000000"/>
            <rFont val="Tahoma"/>
            <family val="2"/>
          </rPr>
          <t>Guidance:</t>
        </r>
        <r>
          <rPr>
            <sz val="9"/>
            <color rgb="FF000000"/>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rgb="FF000000"/>
            <rFont val="Tahoma"/>
            <family val="2"/>
          </rPr>
          <t>Source:</t>
        </r>
        <r>
          <rPr>
            <sz val="9"/>
            <color rgb="FF000000"/>
            <rFont val="Tahoma"/>
            <family val="2"/>
          </rPr>
          <t xml:space="preserve"> 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Gross margin of ~34%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<sst xmlns="http://schemas.openxmlformats.org/spreadsheetml/2006/main" count="217" uniqueCount="111">
  <si>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</si>
  <si>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</si>
  <si>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</si>
  <si>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</si>
  <si>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</si>
  <si>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</si>
  <si>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</si>
  <si>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</si>
  <si>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</si>
  <si>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</si>
  <si>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</si>
  <si>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</si>
  <si>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</si>
  <si>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</si>
  <si>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</si>
  <si>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</si>
  <si>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</si>
  <si>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</si>
  <si>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</si>
  <si>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</si>
  <si>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</si>
  <si>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</si>
  <si>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</si>
  <si>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</si>
  <si>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</si>
  <si>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</si>
  <si>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</si>
  <si>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</si>
  <si>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</si>
  <si>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</si>
  <si>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</si>
  <si>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</si>
  <si>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</si>
  <si>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</si>
  <si>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</si>
  <si>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</si>
  <si>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</si>
  <si>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</si>
  <si>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</si>
  <si>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</si>
  <si>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</si>
  <si>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</si>
  <si>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</si>
  <si>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</si>
  <si>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</si>
  <si>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</si>
  <si>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</si>
  <si>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</si>
  <si>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</si>
  <si>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</si>
  <si>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</si>
  <si>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</si>
  <si>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</si>
  <si>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</si>
  <si>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</si>
  <si>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</si>
  <si>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</si>
  <si>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</si>
  <si>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</si>
  <si>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</si>
  <si>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</si>
  <si>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</si>
  <si>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</si>
  <si>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</si>
  <si>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</si>
  <si>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</si>
  <si>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</si>
  <si>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</si>
  <si>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</si>
  <si>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</si>
  <si>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</si>
  <si>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</si>
  <si>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</si>
  <si>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</si>
  <si>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</si>
  <si>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</si>
  <si>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</si>
  <si>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</si>
  <si>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</si>
  <si>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</si>
  <si>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</si>
  <si>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</si>
  <si>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</si>
  <si>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</si>
  <si>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</si>
  <si>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</si>
  <si>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</si>
  <si>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</si>
  <si>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</si>
  <si>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</si>
  <si>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</si>
  <si>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</si>
  <si>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</si>
  <si>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</si>
  <si>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</si>
  <si>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</si>
  <si>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</si>
  <si>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</si>
  <si>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</si>
  <si>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</si>
  <si>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</si>
  <si>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</si>
  <si>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</si>
  <si>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</si>
  <si>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</si>
  <si>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</si>
  <si>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</si>
  <si>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</si>
  <si>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Orange cells = Consensus estimates (last updated 12/15/2019)</t>
  </si>
  <si>
    <t>Purple cells = Company guidance (updated 12/11/2019)</t>
  </si>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</sst>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i/>
      <sz val="9"/>
      <color indexed="81"/>
      <name val="Tahoma"/>
      <family val="2"/>
    </font>
    <font>
      <i/>
      <sz val="9"/>
      <color indexed="81"/>
      <name val="Tahoma"/>
      <family val="2"/>
    </font>
    <font>
      <b/>
      <sz val="9"/>
      <color rgb="FF000000"/>
      <name val="Tahoma"/>
      <family val="2"/>
    </font>
    <font>
      <sz val="9"/>
      <color rgb="FF000000"/>
      <name val="Tahoma"/>
      <family val="2"/>
    </font>
    <font>
      <b/>
      <i/>
      <sz val="9"/>
      <color rgb="FF000000"/>
      <name val="Tahoma"/>
      <family val="2"/>
    </font>
    <font>
      <i/>
      <sz val="9"/>
      <color rgb="FF000000"/>
      <name val="Tahoma"/>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3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10" borderId="0" xfId="1" applyNumberFormat="1" applyFont="1" applyFill="1" applyAlignment="1">
      <alignment horizontal="right"/>
    </xf>
    <xf numFmtId="165" fontId="61" fillId="10" borderId="0" xfId="1" applyNumberFormat="1"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2" borderId="0" xfId="0" applyFill="1"/>
    <xf numFmtId="0" fontId="2" fillId="12" borderId="0" xfId="0" applyFont="1" applyFill="1" applyAlignment="1">
      <alignment horizontal="right"/>
    </xf>
    <xf numFmtId="10" fontId="2" fillId="12"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2"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10"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10"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10"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10"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165" fontId="63" fillId="0" borderId="5" xfId="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43" fontId="55" fillId="0" borderId="5" xfId="1" quotePrefix="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5.2999999999999999E-2</c:v>
                </c:pt>
                <c:pt idx="4">
                  <c:v>4.474299076543746E-2</c:v>
                </c:pt>
                <c:pt idx="5">
                  <c:v>3.8329362625897388E-2</c:v>
                </c:pt>
                <c:pt idx="6">
                  <c:v>3.6999999999999998E-2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H20"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5" ht="9" customHeight="1" x14ac:dyDescent="0.25">
      <c r="B1" s="167" t="s">
        <v>14</v>
      </c>
    </row>
    <row r="2" spans="1:45" ht="45" customHeight="1" x14ac:dyDescent="0.25">
      <c r="B2" s="211" t="s">
        <v>13</v>
      </c>
      <c r="C2" s="212"/>
      <c r="F2" s="12"/>
    </row>
    <row r="3" spans="1:45" x14ac:dyDescent="0.25">
      <c r="B3" s="215" t="s">
        <v>110</v>
      </c>
      <c r="C3" s="216"/>
    </row>
    <row r="4" spans="1:45" hidden="1" x14ac:dyDescent="0.25">
      <c r="B4" s="217" t="s">
        <v>109</v>
      </c>
      <c r="C4" s="218"/>
      <c r="AS4" s="167" t="s">
        <v>14</v>
      </c>
    </row>
    <row r="5" spans="1:45" hidden="1" x14ac:dyDescent="0.25">
      <c r="B5" s="219" t="s">
        <v>108</v>
      </c>
      <c r="C5" s="220"/>
      <c r="D5" s="14"/>
      <c r="E5" s="14"/>
      <c r="F5" s="14"/>
      <c r="G5" s="14"/>
      <c r="H5" s="13"/>
      <c r="I5" s="13"/>
      <c r="J5" s="13"/>
      <c r="K5" s="13"/>
      <c r="L5" s="13"/>
      <c r="M5" s="13"/>
      <c r="N5" s="13"/>
      <c r="O5" s="13"/>
      <c r="P5" s="13"/>
      <c r="Q5" s="13"/>
      <c r="R5" s="13"/>
      <c r="S5" s="13"/>
      <c r="T5" s="13"/>
      <c r="U5" s="13"/>
      <c r="V5" s="13"/>
      <c r="W5" s="13"/>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3"/>
      <c r="C9" s="192"/>
      <c r="D9" s="44"/>
      <c r="E9" s="44"/>
      <c r="F9" s="44"/>
      <c r="G9" s="44"/>
      <c r="H9" s="44"/>
      <c r="I9" s="44"/>
      <c r="J9" s="39"/>
      <c r="K9" s="39"/>
      <c r="L9" s="39"/>
      <c r="M9" s="44"/>
      <c r="N9" s="186"/>
      <c r="O9" s="26"/>
      <c r="P9" s="101"/>
      <c r="Q9" s="102"/>
      <c r="R9" s="39"/>
      <c r="S9" s="78"/>
      <c r="T9" s="39"/>
      <c r="U9" s="39"/>
      <c r="V9" s="39"/>
      <c r="W9" s="44"/>
    </row>
    <row r="10" spans="1:45" ht="14.45" hidden="1" customHeight="1" x14ac:dyDescent="0.25">
      <c r="B10" s="197"/>
      <c r="C10" s="198"/>
      <c r="D10" s="44"/>
      <c r="E10" s="44"/>
      <c r="F10" s="44"/>
      <c r="G10" s="44"/>
      <c r="H10" s="44"/>
      <c r="I10" s="44"/>
      <c r="J10" s="39"/>
      <c r="K10" s="39"/>
      <c r="L10" s="39"/>
      <c r="M10" s="44"/>
      <c r="N10" s="186"/>
      <c r="O10" s="26"/>
      <c r="P10" s="101"/>
      <c r="Q10" s="26"/>
      <c r="R10" s="26"/>
      <c r="S10" s="26"/>
      <c r="T10" s="26"/>
      <c r="U10" s="26"/>
      <c r="V10" s="26"/>
      <c r="W10" s="177"/>
    </row>
    <row r="11" spans="1:45" ht="14.25" customHeight="1" x14ac:dyDescent="0.25">
      <c r="B11" s="167" t="s">
        <v>14</v>
      </c>
      <c r="D11" s="17"/>
      <c r="E11" s="17"/>
      <c r="F11" s="17"/>
      <c r="G11" s="17"/>
      <c r="H11" s="17"/>
      <c r="I11" s="17"/>
      <c r="J11" s="17"/>
      <c r="K11" s="17"/>
      <c r="L11" s="17"/>
      <c r="M11" s="17"/>
      <c r="N11" s="110"/>
      <c r="O11" s="191"/>
      <c r="P11" s="191"/>
      <c r="Q11" s="17"/>
      <c r="R11" s="14"/>
      <c r="S11" s="17"/>
      <c r="T11" s="17"/>
      <c r="U11" s="17"/>
      <c r="V11" s="13"/>
      <c r="W11" s="13"/>
    </row>
    <row r="12" spans="1:45" ht="15.75" x14ac:dyDescent="0.25">
      <c r="A12" s="225"/>
      <c r="B12" s="209" t="s">
        <v>58</v>
      </c>
      <c r="C12" s="210"/>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25"/>
      <c r="B13" s="221" t="s">
        <v>3</v>
      </c>
      <c r="C13" s="222"/>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25">
      <c r="B14" s="207" t="s">
        <v>59</v>
      </c>
      <c r="C14" s="208"/>
      <c r="D14" s="26">
        <v>23887</v>
      </c>
      <c r="E14" s="26">
        <v>28108</v>
      </c>
      <c r="F14" s="26">
        <v>25026</v>
      </c>
      <c r="G14" s="26">
        <v>23883</v>
      </c>
      <c r="H14" s="27">
        <f>SUM(D14:G14)</f>
        <v>100904</v>
      </c>
      <c r="I14" s="26">
        <v>24947</v>
      </c>
      <c r="J14" s="26">
        <v>30463</v>
      </c>
      <c r="K14" s="26">
        <v>26302</v>
      </c>
      <c r="L14" s="26">
        <v>26491</v>
      </c>
      <c r="M14" s="27">
        <f>SUM(I14:L14)</f>
        <v>108203</v>
      </c>
      <c r="N14" s="168">
        <v>26381</v>
      </c>
      <c r="O14" s="168">
        <v>30839</v>
      </c>
      <c r="P14" s="168">
        <v>27223</v>
      </c>
      <c r="Q14" s="168">
        <f t="shared" ref="Q14" si="0">+Q42</f>
        <v>25994.685324927133</v>
      </c>
      <c r="R14" s="188">
        <f>SUM(N14:Q14)</f>
        <v>110437.68532492714</v>
      </c>
      <c r="S14" s="168">
        <f t="shared" ref="S14:V14" si="1">+S42</f>
        <v>27611.000000000004</v>
      </c>
      <c r="T14" s="168">
        <f t="shared" si="1"/>
        <v>32075</v>
      </c>
      <c r="U14" s="168">
        <f t="shared" si="1"/>
        <v>28280.207837123067</v>
      </c>
      <c r="V14" s="168">
        <f t="shared" si="1"/>
        <v>27014.467042009961</v>
      </c>
      <c r="W14" s="188">
        <f>SUM(S14:V14)</f>
        <v>114980.67487913303</v>
      </c>
    </row>
    <row r="15" spans="1:45" ht="17.25" outlineLevel="1" x14ac:dyDescent="0.4">
      <c r="B15" s="228" t="s">
        <v>50</v>
      </c>
      <c r="C15" s="229"/>
      <c r="D15" s="30">
        <v>15733</v>
      </c>
      <c r="E15" s="30">
        <v>18647</v>
      </c>
      <c r="F15" s="30">
        <v>16378</v>
      </c>
      <c r="G15" s="30">
        <v>15790</v>
      </c>
      <c r="H15" s="31">
        <f>SUM(D15:G15)</f>
        <v>66548</v>
      </c>
      <c r="I15" s="30">
        <v>16330</v>
      </c>
      <c r="J15" s="30">
        <v>20098</v>
      </c>
      <c r="K15" s="30">
        <v>17151</v>
      </c>
      <c r="L15" s="30">
        <v>17464</v>
      </c>
      <c r="M15" s="31">
        <f>SUM(I15:L15)</f>
        <v>71043</v>
      </c>
      <c r="N15" s="169">
        <v>17364</v>
      </c>
      <c r="O15" s="169">
        <v>20407</v>
      </c>
      <c r="P15" s="169">
        <v>17836</v>
      </c>
      <c r="Q15" s="169">
        <f>(1-Q55)*Q14</f>
        <v>17156.492314451905</v>
      </c>
      <c r="R15" s="199">
        <f>SUM(N15:Q15)</f>
        <v>72763.492314451898</v>
      </c>
      <c r="S15" s="169">
        <f>(1-S55)*S14</f>
        <v>18223.259999999998</v>
      </c>
      <c r="T15" s="169">
        <f>(1-T55)*T14</f>
        <v>21297.8</v>
      </c>
      <c r="U15" s="169">
        <f>(1-U55)*U14</f>
        <v>18563.128424287581</v>
      </c>
      <c r="V15" s="169">
        <f>(1-V55)*V14</f>
        <v>17829.548247726572</v>
      </c>
      <c r="W15" s="199">
        <f>SUM(S15:V15)</f>
        <v>75913.736672014158</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0">
        <f>+N14-N15</f>
        <v>9017</v>
      </c>
      <c r="O16" s="170">
        <f t="shared" si="3"/>
        <v>10432</v>
      </c>
      <c r="P16" s="170">
        <f t="shared" si="3"/>
        <v>9387</v>
      </c>
      <c r="Q16" s="34">
        <f t="shared" si="3"/>
        <v>8838.1930104752282</v>
      </c>
      <c r="R16" s="35">
        <f t="shared" si="3"/>
        <v>37674.193010475239</v>
      </c>
      <c r="S16" s="34">
        <f t="shared" si="3"/>
        <v>9387.7400000000052</v>
      </c>
      <c r="T16" s="34">
        <f t="shared" si="3"/>
        <v>10777.2</v>
      </c>
      <c r="U16" s="34">
        <f t="shared" si="3"/>
        <v>9717.0794128354864</v>
      </c>
      <c r="V16" s="34">
        <f t="shared" si="3"/>
        <v>9184.9187942833887</v>
      </c>
      <c r="W16" s="35">
        <f t="shared" si="3"/>
        <v>39066.938207118874</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8">
        <v>4940</v>
      </c>
      <c r="O17" s="168">
        <v>5044</v>
      </c>
      <c r="P17" s="168">
        <v>4942</v>
      </c>
      <c r="Q17" s="26">
        <f>Q14*Q56</f>
        <v>4757.0274144616651</v>
      </c>
      <c r="R17" s="27">
        <f>SUM(N17:Q17)</f>
        <v>19683.027414461663</v>
      </c>
      <c r="S17" s="26">
        <f>S14*S56</f>
        <v>5091.0932988381674</v>
      </c>
      <c r="T17" s="26">
        <f>T14*T56</f>
        <v>5154.4661604557305</v>
      </c>
      <c r="U17" s="26">
        <f>U14*U56</f>
        <v>5033.8769950079059</v>
      </c>
      <c r="V17" s="26">
        <f>V14*V56</f>
        <v>4943.6474686878228</v>
      </c>
      <c r="W17" s="27">
        <f>SUM(S17:V17)</f>
        <v>20223.083922989626</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8">
        <v>480</v>
      </c>
      <c r="O18" s="168">
        <v>492</v>
      </c>
      <c r="P18" s="168">
        <v>498</v>
      </c>
      <c r="Q18" s="49">
        <v>595.12552665017051</v>
      </c>
      <c r="R18" s="188">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69">
        <v>0</v>
      </c>
      <c r="O19" s="169">
        <v>0</v>
      </c>
      <c r="P19" s="169">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8">
        <f t="shared" ref="D20:K20" si="12">SUM(D17:D19)</f>
        <v>4805</v>
      </c>
      <c r="E20" s="148">
        <f t="shared" si="12"/>
        <v>4998</v>
      </c>
      <c r="F20" s="148">
        <f t="shared" si="12"/>
        <v>4968</v>
      </c>
      <c r="G20" s="148">
        <f t="shared" si="12"/>
        <v>4904</v>
      </c>
      <c r="H20" s="149">
        <f t="shared" si="12"/>
        <v>19675</v>
      </c>
      <c r="I20" s="148">
        <f t="shared" si="12"/>
        <v>5236</v>
      </c>
      <c r="J20" s="148">
        <f t="shared" si="12"/>
        <v>5464</v>
      </c>
      <c r="K20" s="148">
        <f t="shared" si="12"/>
        <v>5281</v>
      </c>
      <c r="L20" s="148">
        <f>SUM(L17:L19)</f>
        <v>5649</v>
      </c>
      <c r="M20" s="149">
        <f t="shared" ref="M20:W20" si="13">SUM(M17:M19)</f>
        <v>21630</v>
      </c>
      <c r="N20" s="171">
        <f>SUM(N17:N19)</f>
        <v>5420</v>
      </c>
      <c r="O20" s="171">
        <f t="shared" si="13"/>
        <v>5536</v>
      </c>
      <c r="P20" s="171">
        <f t="shared" si="13"/>
        <v>5440</v>
      </c>
      <c r="Q20" s="148">
        <f t="shared" si="13"/>
        <v>5352.1529411118354</v>
      </c>
      <c r="R20" s="149">
        <f t="shared" si="13"/>
        <v>21748.152941111832</v>
      </c>
      <c r="S20" s="148">
        <f t="shared" si="13"/>
        <v>5672.7099149369687</v>
      </c>
      <c r="T20" s="148">
        <f t="shared" si="13"/>
        <v>5748.9046943267458</v>
      </c>
      <c r="U20" s="148">
        <f t="shared" si="13"/>
        <v>5642.7476200192505</v>
      </c>
      <c r="V20" s="148">
        <f t="shared" si="13"/>
        <v>5549.3181081514322</v>
      </c>
      <c r="W20" s="149">
        <f t="shared" si="13"/>
        <v>22613.680337434398</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0">
        <f>N16-N20</f>
        <v>3597</v>
      </c>
      <c r="O21" s="170">
        <f t="shared" si="15"/>
        <v>4896</v>
      </c>
      <c r="P21" s="170">
        <f t="shared" si="15"/>
        <v>3947</v>
      </c>
      <c r="Q21" s="34">
        <f t="shared" si="15"/>
        <v>3486.0400693633928</v>
      </c>
      <c r="R21" s="35">
        <f t="shared" si="15"/>
        <v>15926.040069363407</v>
      </c>
      <c r="S21" s="34">
        <f t="shared" si="15"/>
        <v>3715.0300850630365</v>
      </c>
      <c r="T21" s="34">
        <f t="shared" si="15"/>
        <v>5028.2953056732549</v>
      </c>
      <c r="U21" s="34">
        <f t="shared" si="15"/>
        <v>4074.331792816236</v>
      </c>
      <c r="V21" s="34">
        <f t="shared" si="15"/>
        <v>3635.6006861319565</v>
      </c>
      <c r="W21" s="35">
        <f t="shared" si="15"/>
        <v>16453.257869684476</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8">
        <v>-15</v>
      </c>
      <c r="O22" s="168">
        <v>-19</v>
      </c>
      <c r="P22" s="168">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8">
        <v>288</v>
      </c>
      <c r="O23" s="168">
        <v>302</v>
      </c>
      <c r="P23" s="168">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69">
        <v>0</v>
      </c>
      <c r="O24" s="169">
        <v>0</v>
      </c>
      <c r="P24" s="169">
        <v>0</v>
      </c>
      <c r="Q24" s="48">
        <v>0</v>
      </c>
      <c r="R24" s="31">
        <f t="shared" ref="R24" si="25">SUM(N24:Q24)</f>
        <v>0</v>
      </c>
      <c r="S24" s="48">
        <v>0</v>
      </c>
      <c r="T24" s="48">
        <v>0</v>
      </c>
      <c r="U24" s="48">
        <v>0</v>
      </c>
      <c r="V24" s="48">
        <v>0</v>
      </c>
      <c r="W24" s="31">
        <f t="shared" ref="W24" si="26">SUM(S24:V24)</f>
        <v>0</v>
      </c>
    </row>
    <row r="25" spans="1:23" ht="17.25" x14ac:dyDescent="0.4">
      <c r="B25" s="213" t="s">
        <v>96</v>
      </c>
      <c r="C25" s="214"/>
      <c r="D25" s="148">
        <f>SUM(D22:D24)</f>
        <v>241</v>
      </c>
      <c r="E25" s="148">
        <f t="shared" ref="E25:W25" si="27">SUM(E22:E24)</f>
        <v>249</v>
      </c>
      <c r="F25" s="148">
        <f t="shared" si="27"/>
        <v>247</v>
      </c>
      <c r="G25" s="148">
        <f>SUM(G22:G24)</f>
        <v>246</v>
      </c>
      <c r="H25" s="149">
        <f t="shared" si="27"/>
        <v>983</v>
      </c>
      <c r="I25" s="148">
        <f t="shared" si="27"/>
        <v>239</v>
      </c>
      <c r="J25" s="148">
        <f t="shared" si="27"/>
        <v>246</v>
      </c>
      <c r="K25" s="148">
        <f t="shared" si="27"/>
        <v>224</v>
      </c>
      <c r="L25" s="148">
        <f>SUM(L22:L24)</f>
        <v>265</v>
      </c>
      <c r="M25" s="149">
        <f t="shared" si="27"/>
        <v>974</v>
      </c>
      <c r="N25" s="171">
        <f t="shared" si="27"/>
        <v>273</v>
      </c>
      <c r="O25" s="171">
        <f>SUM(O22:O24)</f>
        <v>283</v>
      </c>
      <c r="P25" s="171">
        <f t="shared" si="27"/>
        <v>280</v>
      </c>
      <c r="Q25" s="148">
        <f t="shared" si="27"/>
        <v>283.9090737532398</v>
      </c>
      <c r="R25" s="189">
        <f t="shared" si="27"/>
        <v>1119.9090737532397</v>
      </c>
      <c r="S25" s="148">
        <f t="shared" si="27"/>
        <v>294.58000914469005</v>
      </c>
      <c r="T25" s="148">
        <f t="shared" si="27"/>
        <v>279.49542522899634</v>
      </c>
      <c r="U25" s="148">
        <f t="shared" si="27"/>
        <v>280.08527294038049</v>
      </c>
      <c r="V25" s="148">
        <f t="shared" si="27"/>
        <v>283.52056016007623</v>
      </c>
      <c r="W25" s="149">
        <f t="shared" si="27"/>
        <v>1137.6812674741432</v>
      </c>
    </row>
    <row r="26" spans="1:23" x14ac:dyDescent="0.25">
      <c r="B26" s="226" t="s">
        <v>18</v>
      </c>
      <c r="C26" s="227"/>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0">
        <f>N21-N25</f>
        <v>3324</v>
      </c>
      <c r="O26" s="170">
        <f t="shared" si="28"/>
        <v>4613</v>
      </c>
      <c r="P26" s="170">
        <f t="shared" si="28"/>
        <v>3667</v>
      </c>
      <c r="Q26" s="34">
        <f t="shared" si="28"/>
        <v>3202.1309956101531</v>
      </c>
      <c r="R26" s="35">
        <f t="shared" si="28"/>
        <v>14806.130995610169</v>
      </c>
      <c r="S26" s="34">
        <f t="shared" si="28"/>
        <v>3420.4500759183466</v>
      </c>
      <c r="T26" s="34">
        <f t="shared" si="28"/>
        <v>4748.7998804442586</v>
      </c>
      <c r="U26" s="34">
        <f t="shared" si="28"/>
        <v>3794.2465198758555</v>
      </c>
      <c r="V26" s="34">
        <f t="shared" si="28"/>
        <v>3352.0801259718801</v>
      </c>
      <c r="W26" s="35">
        <f t="shared" si="28"/>
        <v>15315.576602210333</v>
      </c>
    </row>
    <row r="27" spans="1:23" ht="17.25" x14ac:dyDescent="0.4">
      <c r="B27" s="207" t="s">
        <v>7</v>
      </c>
      <c r="C27" s="208"/>
      <c r="D27" s="30">
        <v>1094</v>
      </c>
      <c r="E27" s="30">
        <v>1542</v>
      </c>
      <c r="F27" s="30">
        <v>1268</v>
      </c>
      <c r="G27" s="30">
        <v>1164</v>
      </c>
      <c r="H27" s="31">
        <f>SUM(D27:G27)</f>
        <v>5068</v>
      </c>
      <c r="I27" s="30">
        <v>738</v>
      </c>
      <c r="J27" s="30">
        <v>1149</v>
      </c>
      <c r="K27" s="30">
        <v>779</v>
      </c>
      <c r="L27" s="30">
        <v>769</v>
      </c>
      <c r="M27" s="31">
        <f>SUM(I27:L27)</f>
        <v>3435</v>
      </c>
      <c r="N27" s="169">
        <v>811</v>
      </c>
      <c r="O27" s="169">
        <v>1134</v>
      </c>
      <c r="P27" s="169">
        <v>898</v>
      </c>
      <c r="Q27" s="30">
        <f>Q26*Q58</f>
        <v>816.54340388058904</v>
      </c>
      <c r="R27" s="31">
        <f>SUM(N27:Q27)</f>
        <v>3659.5434038805888</v>
      </c>
      <c r="S27" s="30">
        <f>S26*S58</f>
        <v>855.11251897958664</v>
      </c>
      <c r="T27" s="30">
        <f>T26*T58</f>
        <v>1187.1999701110647</v>
      </c>
      <c r="U27" s="30">
        <f>U26*U58</f>
        <v>948.56162996896387</v>
      </c>
      <c r="V27" s="30">
        <f>V26*V58</f>
        <v>838.02003149297002</v>
      </c>
      <c r="W27" s="31">
        <f>SUM(S27:V27)</f>
        <v>3828.8941505525854</v>
      </c>
    </row>
    <row r="28" spans="1:23" x14ac:dyDescent="0.25">
      <c r="A28" s="36"/>
      <c r="B28" s="213" t="s">
        <v>64</v>
      </c>
      <c r="C28" s="214"/>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0">
        <f>+N26-N27</f>
        <v>2513</v>
      </c>
      <c r="O28" s="170">
        <f t="shared" si="29"/>
        <v>3479</v>
      </c>
      <c r="P28" s="170">
        <f t="shared" si="29"/>
        <v>2769</v>
      </c>
      <c r="Q28" s="34">
        <f t="shared" si="29"/>
        <v>2385.5875917295643</v>
      </c>
      <c r="R28" s="35">
        <f t="shared" si="29"/>
        <v>11146.58759172958</v>
      </c>
      <c r="S28" s="34">
        <f t="shared" si="29"/>
        <v>2565.3375569387599</v>
      </c>
      <c r="T28" s="34">
        <f t="shared" si="29"/>
        <v>3561.5999103331942</v>
      </c>
      <c r="U28" s="34">
        <f t="shared" si="29"/>
        <v>2845.6848899068918</v>
      </c>
      <c r="V28" s="34">
        <f t="shared" si="29"/>
        <v>2514.0600944789103</v>
      </c>
      <c r="W28" s="35">
        <f t="shared" si="29"/>
        <v>11486.682451657747</v>
      </c>
    </row>
    <row r="29" spans="1:23" x14ac:dyDescent="0.25">
      <c r="B29" s="207" t="s">
        <v>0</v>
      </c>
      <c r="C29" s="208"/>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8">
        <v>1101</v>
      </c>
      <c r="O29" s="168">
        <v>1095</v>
      </c>
      <c r="P29" s="168">
        <v>1089</v>
      </c>
      <c r="Q29" s="26">
        <f>P29*(1+Q62)-Q66</f>
        <v>1083.1341412002821</v>
      </c>
      <c r="R29" s="27">
        <f>+(N28/R28*N29)+(O28/R28*O29)+(P28/R28*P29)+(Q28/R28*Q29)</f>
        <v>1092.3226742918182</v>
      </c>
      <c r="S29" s="26">
        <f>Q29*(1+S62)-S66</f>
        <v>1078.6738128349368</v>
      </c>
      <c r="T29" s="26">
        <f>S29*(1+T62)-T66</f>
        <v>1075.5969965355787</v>
      </c>
      <c r="U29" s="26">
        <f>T29*(1+U62)-U66</f>
        <v>1072.276809189791</v>
      </c>
      <c r="V29" s="26">
        <f>U29*(1+V62)-V66</f>
        <v>1068.8919808174267</v>
      </c>
      <c r="W29" s="27">
        <f>+(S28/W28*S29)+(T28/W28*T29)+(U28/W28*U29)+(V28/W28*V29)</f>
        <v>1073.9941014368101</v>
      </c>
    </row>
    <row r="30" spans="1:23" ht="15.75" customHeight="1" x14ac:dyDescent="0.25">
      <c r="B30" s="207" t="s">
        <v>1</v>
      </c>
      <c r="C30" s="208"/>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8">
        <v>1106</v>
      </c>
      <c r="O30" s="168">
        <v>1099</v>
      </c>
      <c r="P30" s="168">
        <v>1094</v>
      </c>
      <c r="Q30" s="26">
        <f>P30*(1+Q63)-Q66</f>
        <v>1087.8944818708765</v>
      </c>
      <c r="R30" s="27">
        <f>+(N28/R28*N30)+(O28/R28*O30)+(P28/R28*P30)+(Q28/R28*Q30)</f>
        <v>1096.9592690532968</v>
      </c>
      <c r="S30" s="26">
        <f>Q30*(1+S63)-S66</f>
        <v>1083.3761718619853</v>
      </c>
      <c r="T30" s="26">
        <f>S30*(1+T63)-T66</f>
        <v>1080.2270453781384</v>
      </c>
      <c r="U30" s="26">
        <f>T30*(1+U63)-U66</f>
        <v>1077.0609728729094</v>
      </c>
      <c r="V30" s="26">
        <f>U30*(1+V63)-V66</f>
        <v>1073.6231657318156</v>
      </c>
      <c r="W30" s="27">
        <f>+(S28/W28*S30)+(T28/W28*T30)+(U28/W28*U30)+(V28/W28*V30)</f>
        <v>1078.7006148696551</v>
      </c>
    </row>
    <row r="31" spans="1:23" ht="15.75" customHeight="1" x14ac:dyDescent="0.25">
      <c r="B31" s="223" t="s">
        <v>8</v>
      </c>
      <c r="C31" s="224"/>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2">
        <f t="shared" si="30"/>
        <v>2.282470481380563</v>
      </c>
      <c r="O31" s="172">
        <f t="shared" si="30"/>
        <v>3.1771689497716893</v>
      </c>
      <c r="P31" s="172">
        <f t="shared" si="30"/>
        <v>2.5426997245179064</v>
      </c>
      <c r="Q31" s="172">
        <f t="shared" si="30"/>
        <v>2.2024858242266836</v>
      </c>
      <c r="R31" s="194">
        <f t="shared" si="30"/>
        <v>10.204482479461674</v>
      </c>
      <c r="S31" s="172">
        <f t="shared" si="30"/>
        <v>2.378232906384016</v>
      </c>
      <c r="T31" s="172">
        <f t="shared" si="30"/>
        <v>3.3112772923361202</v>
      </c>
      <c r="U31" s="172">
        <f t="shared" si="30"/>
        <v>2.653871524142243</v>
      </c>
      <c r="V31" s="172">
        <f t="shared" si="30"/>
        <v>2.3520244698218269</v>
      </c>
      <c r="W31" s="194">
        <f t="shared" si="30"/>
        <v>10.695293797508423</v>
      </c>
    </row>
    <row r="32" spans="1:23" x14ac:dyDescent="0.25">
      <c r="B32" s="223" t="s">
        <v>9</v>
      </c>
      <c r="C32" s="224"/>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2">
        <f>N28/N30</f>
        <v>2.2721518987341773</v>
      </c>
      <c r="O32" s="172">
        <f t="shared" si="31"/>
        <v>3.1656050955414012</v>
      </c>
      <c r="P32" s="172">
        <f t="shared" si="31"/>
        <v>2.5310786106032905</v>
      </c>
      <c r="Q32" s="172">
        <f t="shared" si="31"/>
        <v>2.1928483244321786</v>
      </c>
      <c r="R32" s="194">
        <f t="shared" si="31"/>
        <v>10.16135047689543</v>
      </c>
      <c r="S32" s="172">
        <f t="shared" si="31"/>
        <v>2.3679102638280716</v>
      </c>
      <c r="T32" s="172">
        <f t="shared" si="31"/>
        <v>3.2970845578916603</v>
      </c>
      <c r="U32" s="172">
        <f t="shared" si="31"/>
        <v>2.6420833746453796</v>
      </c>
      <c r="V32" s="172">
        <f t="shared" si="31"/>
        <v>2.3416596946892883</v>
      </c>
      <c r="W32" s="194">
        <f t="shared" si="31"/>
        <v>10.648628816296487</v>
      </c>
    </row>
    <row r="33" spans="1:25" x14ac:dyDescent="0.25">
      <c r="B33" s="165" t="s">
        <v>53</v>
      </c>
      <c r="C33" s="166"/>
      <c r="D33" s="56">
        <v>0.89</v>
      </c>
      <c r="E33" s="56">
        <v>0.89</v>
      </c>
      <c r="F33" s="56">
        <v>0.89</v>
      </c>
      <c r="G33" s="56">
        <v>1.03</v>
      </c>
      <c r="H33" s="109">
        <f>+SUM(D33:G33)</f>
        <v>3.7</v>
      </c>
      <c r="I33" s="56">
        <v>1.03</v>
      </c>
      <c r="J33" s="56">
        <v>1.03</v>
      </c>
      <c r="K33" s="56">
        <v>1.03</v>
      </c>
      <c r="L33" s="56">
        <v>1.36</v>
      </c>
      <c r="M33" s="109">
        <f>+SUM(I33:L33)</f>
        <v>4.45</v>
      </c>
      <c r="N33" s="173">
        <f>+L33</f>
        <v>1.36</v>
      </c>
      <c r="O33" s="173">
        <v>1.36</v>
      </c>
      <c r="P33" s="173">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row>
    <row r="34" spans="1:25" x14ac:dyDescent="0.25">
      <c r="B34" s="40"/>
      <c r="C34" s="43"/>
      <c r="D34" s="140"/>
      <c r="E34" s="43"/>
      <c r="F34" s="43"/>
      <c r="G34" s="137"/>
      <c r="H34" s="16"/>
      <c r="I34" s="138"/>
      <c r="J34" s="138"/>
      <c r="K34" s="137"/>
      <c r="L34" s="138"/>
      <c r="M34" s="3"/>
      <c r="N34" s="137"/>
      <c r="O34" s="137"/>
      <c r="P34" s="137"/>
      <c r="Q34" s="196"/>
      <c r="R34" s="195"/>
      <c r="S34" s="196"/>
      <c r="T34" s="196"/>
      <c r="U34" s="196"/>
      <c r="V34" s="196"/>
      <c r="W34" s="195"/>
    </row>
    <row r="35" spans="1:25" ht="15.75" x14ac:dyDescent="0.25">
      <c r="A35" s="176"/>
      <c r="B35" s="209" t="s">
        <v>36</v>
      </c>
      <c r="C35" s="210"/>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76"/>
      <c r="B36" s="221"/>
      <c r="C36" s="222"/>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25">
      <c r="A37" s="178"/>
      <c r="B37" s="230" t="s">
        <v>81</v>
      </c>
      <c r="C37" s="231"/>
      <c r="D37" s="34">
        <v>2281</v>
      </c>
      <c r="E37" s="34">
        <v>2282</v>
      </c>
      <c r="F37" s="34">
        <v>2283</v>
      </c>
      <c r="G37" s="34">
        <v>2284</v>
      </c>
      <c r="H37" s="152"/>
      <c r="I37" s="34">
        <v>2285</v>
      </c>
      <c r="J37" s="34">
        <v>2286</v>
      </c>
      <c r="K37" s="34">
        <v>2286</v>
      </c>
      <c r="L37" s="34">
        <v>2287</v>
      </c>
      <c r="M37" s="152">
        <f>L37</f>
        <v>2287</v>
      </c>
      <c r="N37" s="34">
        <v>2289</v>
      </c>
      <c r="O37" s="34">
        <v>2291</v>
      </c>
      <c r="P37" s="34">
        <f t="shared" ref="P37:Q37" si="32">+O37+P38</f>
        <v>2290</v>
      </c>
      <c r="Q37" s="34">
        <f t="shared" si="32"/>
        <v>2292</v>
      </c>
      <c r="R37" s="152">
        <f>Q37</f>
        <v>2292</v>
      </c>
      <c r="S37" s="34">
        <f>+Q37+S38</f>
        <v>2293</v>
      </c>
      <c r="T37" s="34">
        <f>+S37+T38</f>
        <v>2294</v>
      </c>
      <c r="U37" s="34">
        <f t="shared" ref="U37" si="33">+T37+U38</f>
        <v>2295</v>
      </c>
      <c r="V37" s="34">
        <f t="shared" ref="V37" si="34">+U37+V38</f>
        <v>2296</v>
      </c>
      <c r="W37" s="152">
        <f>V37</f>
        <v>2296</v>
      </c>
    </row>
    <row r="38" spans="1:25" outlineLevel="1" x14ac:dyDescent="0.25">
      <c r="A38" s="176"/>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8">
        <v>-1</v>
      </c>
      <c r="Q38" s="49">
        <v>2</v>
      </c>
      <c r="R38" s="190">
        <f>SUM(N38:Q38)</f>
        <v>5</v>
      </c>
      <c r="S38" s="49">
        <v>1</v>
      </c>
      <c r="T38" s="49">
        <v>1</v>
      </c>
      <c r="U38" s="49">
        <v>1</v>
      </c>
      <c r="V38" s="49">
        <v>1</v>
      </c>
      <c r="W38" s="42">
        <f>SUM(S38:V38)</f>
        <v>4</v>
      </c>
    </row>
    <row r="39" spans="1:25" s="121" customFormat="1" outlineLevel="1" x14ac:dyDescent="0.25">
      <c r="A39" s="181"/>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37">K37</f>
        <v>2286</v>
      </c>
      <c r="Q39" s="125">
        <f>L37</f>
        <v>2287</v>
      </c>
      <c r="R39" s="126">
        <f>AVERAGE(N39:Q39)</f>
        <v>2286</v>
      </c>
      <c r="S39" s="125">
        <f>N37</f>
        <v>2289</v>
      </c>
      <c r="T39" s="125">
        <f t="shared" ref="T39" si="38">O37</f>
        <v>2291</v>
      </c>
      <c r="U39" s="125">
        <f t="shared" ref="U39" si="39">P37</f>
        <v>2290</v>
      </c>
      <c r="V39" s="125">
        <f>Q37</f>
        <v>2292</v>
      </c>
      <c r="W39" s="126">
        <f>AVERAGE(S39:V39)</f>
        <v>2290.5</v>
      </c>
    </row>
    <row r="40" spans="1:25" s="121" customFormat="1" outlineLevel="1" x14ac:dyDescent="0.25">
      <c r="A40" s="181"/>
      <c r="B40" s="122" t="s">
        <v>55</v>
      </c>
      <c r="C40" s="123"/>
      <c r="D40" s="162">
        <v>10.477565438414539</v>
      </c>
      <c r="E40" s="162">
        <v>12.338945366188232</v>
      </c>
      <c r="F40" s="162">
        <v>10.978759745425613</v>
      </c>
      <c r="G40" s="162">
        <v>10.502805820781584</v>
      </c>
      <c r="H40" s="130">
        <f>SUM(D40:G40)</f>
        <v>44.298076370809966</v>
      </c>
      <c r="I40" s="162">
        <v>11.243870807581272</v>
      </c>
      <c r="J40" s="162">
        <v>13.068968794428521</v>
      </c>
      <c r="K40" s="162">
        <v>11.474538198287984</v>
      </c>
      <c r="L40" s="162">
        <v>10.773426965048801</v>
      </c>
      <c r="M40" s="130">
        <f>SUM(I40:L40)</f>
        <v>46.560804765346575</v>
      </c>
      <c r="N40" s="162">
        <f>I40*(1+N46)</f>
        <v>11.524967577770804</v>
      </c>
      <c r="O40" s="162">
        <f>J40*(1+O46)</f>
        <v>13.461037858261378</v>
      </c>
      <c r="P40" s="162">
        <f>K40*(1+P46)</f>
        <v>11.887621573426353</v>
      </c>
      <c r="Q40" s="162">
        <f>L40*(1+Q46)</f>
        <v>11.344418594196386</v>
      </c>
      <c r="R40" s="130">
        <f>SUM(N40:Q40)</f>
        <v>48.218045603654915</v>
      </c>
      <c r="S40" s="162">
        <f>N40*(1+S46)</f>
        <v>12.040629095674969</v>
      </c>
      <c r="T40" s="162">
        <f>O40*(1+T46)</f>
        <v>13.976990859651611</v>
      </c>
      <c r="U40" s="162">
        <f>P40*(1+U46)</f>
        <v>12.327463571643127</v>
      </c>
      <c r="V40" s="162">
        <f>Q40*(1+V46)</f>
        <v>11.764162082181651</v>
      </c>
      <c r="W40" s="130">
        <f>SUM(S40:V40)</f>
        <v>50.109245609151358</v>
      </c>
    </row>
    <row r="41" spans="1:25" ht="17.25" outlineLevel="1" x14ac:dyDescent="0.4">
      <c r="A41" s="176"/>
      <c r="B41" s="164" t="s">
        <v>89</v>
      </c>
      <c r="C41" s="117"/>
      <c r="D41" s="48">
        <f>+(D37-D39)*D44-12</f>
        <v>19.416483998246381</v>
      </c>
      <c r="E41" s="48">
        <f>+(E37-E39)*E44-49</f>
        <v>0.26906222611744113</v>
      </c>
      <c r="F41" s="48">
        <f>+(F37-F39)*F44-38</f>
        <v>16.809461235216823</v>
      </c>
      <c r="G41" s="48">
        <f>+(G37-G39)*G44-105</f>
        <v>-42.260070052539405</v>
      </c>
      <c r="H41" s="163">
        <f>SUM(D41:G41)</f>
        <v>-5.7650625929587562</v>
      </c>
      <c r="I41" s="48">
        <f>+(I37-I39)*I44-744</f>
        <v>-700.3291028446389</v>
      </c>
      <c r="J41" s="48">
        <v>640</v>
      </c>
      <c r="K41" s="48">
        <f>250-144</f>
        <v>106</v>
      </c>
      <c r="L41" s="48">
        <f>+(L37-L39)*L44+1700+150</f>
        <v>1884.7498906864889</v>
      </c>
      <c r="M41" s="163">
        <f>SUM(I41:L41)</f>
        <v>1930.4207878418501</v>
      </c>
      <c r="N41" s="48">
        <f>+(N37-N39)*N44</f>
        <v>46.100480559196157</v>
      </c>
      <c r="O41" s="48">
        <f>+(O37-O39)*O44</f>
        <v>67.304670449585331</v>
      </c>
      <c r="P41" s="48">
        <f>+(P37-P39)*P44</f>
        <v>47.55109170305677</v>
      </c>
      <c r="Q41" s="48">
        <v>50</v>
      </c>
      <c r="R41" s="163">
        <f>SUM(N41:Q41)</f>
        <v>210.95624271183826</v>
      </c>
      <c r="S41" s="48">
        <v>50</v>
      </c>
      <c r="T41" s="48">
        <f>AVERAGE(S41,Q41,P41,O41)</f>
        <v>53.713940538160529</v>
      </c>
      <c r="U41" s="48">
        <f>AVERAGE(T41,S41,Q41,P41)</f>
        <v>50.316258060304321</v>
      </c>
      <c r="V41" s="48">
        <f>AVERAGE(U41,T41,S41,Q41)</f>
        <v>51.007549649616209</v>
      </c>
      <c r="W41" s="163">
        <f>SUM(S41:V41)</f>
        <v>205.03774824808104</v>
      </c>
    </row>
    <row r="42" spans="1:25" s="20" customFormat="1" outlineLevel="1" x14ac:dyDescent="0.25">
      <c r="A42" s="178"/>
      <c r="B42" s="232" t="s">
        <v>90</v>
      </c>
      <c r="C42" s="233"/>
      <c r="D42" s="34">
        <f t="shared" ref="D42:M42" si="40">+D14</f>
        <v>23887</v>
      </c>
      <c r="E42" s="34">
        <f t="shared" si="40"/>
        <v>28108</v>
      </c>
      <c r="F42" s="34">
        <f t="shared" si="40"/>
        <v>25026</v>
      </c>
      <c r="G42" s="34">
        <f t="shared" si="40"/>
        <v>23883</v>
      </c>
      <c r="H42" s="152">
        <f t="shared" si="40"/>
        <v>100904</v>
      </c>
      <c r="I42" s="34">
        <f t="shared" si="40"/>
        <v>24947</v>
      </c>
      <c r="J42" s="34">
        <f t="shared" si="40"/>
        <v>30463</v>
      </c>
      <c r="K42" s="34">
        <f t="shared" si="40"/>
        <v>26302</v>
      </c>
      <c r="L42" s="34">
        <f>+L14</f>
        <v>26491</v>
      </c>
      <c r="M42" s="152">
        <f t="shared" si="40"/>
        <v>108203</v>
      </c>
      <c r="N42" s="34">
        <f>+N14</f>
        <v>26381</v>
      </c>
      <c r="O42" s="34">
        <f>+O14</f>
        <v>30839</v>
      </c>
      <c r="P42" s="34">
        <f>+P14</f>
        <v>27223</v>
      </c>
      <c r="Q42" s="34">
        <f>+Q39*Q40+Q41</f>
        <v>25994.685324927133</v>
      </c>
      <c r="R42" s="152">
        <f>+R14</f>
        <v>110437.68532492714</v>
      </c>
      <c r="S42" s="34">
        <f>+S39*S40+S41</f>
        <v>27611.000000000004</v>
      </c>
      <c r="T42" s="34">
        <f>+T39*T40+T41</f>
        <v>32075</v>
      </c>
      <c r="U42" s="34">
        <f>+U39*U40+U41</f>
        <v>28280.207837123067</v>
      </c>
      <c r="V42" s="34">
        <f>+V39*V40+V41</f>
        <v>27014.467042009961</v>
      </c>
      <c r="W42" s="152">
        <f>+W14</f>
        <v>114980.67487913303</v>
      </c>
    </row>
    <row r="43" spans="1:25" s="20" customFormat="1" outlineLevel="1" x14ac:dyDescent="0.25">
      <c r="A43" s="178"/>
      <c r="B43" s="143" t="s">
        <v>92</v>
      </c>
      <c r="C43" s="144"/>
      <c r="D43" s="34"/>
      <c r="E43" s="34"/>
      <c r="F43" s="34"/>
      <c r="G43" s="34"/>
      <c r="H43" s="152"/>
      <c r="I43" s="134">
        <f>+I42/D42-1</f>
        <v>4.4375601791769581E-2</v>
      </c>
      <c r="J43" s="134">
        <f t="shared" ref="J43:R43" si="41">+J42/E42-1</f>
        <v>8.3783976092215662E-2</v>
      </c>
      <c r="K43" s="134">
        <f t="shared" si="41"/>
        <v>5.0986973547510583E-2</v>
      </c>
      <c r="L43" s="134">
        <f t="shared" si="41"/>
        <v>0.10919901184943259</v>
      </c>
      <c r="M43" s="147">
        <f t="shared" si="41"/>
        <v>7.2336081820344011E-2</v>
      </c>
      <c r="N43" s="134">
        <f t="shared" si="41"/>
        <v>5.7481861546478497E-2</v>
      </c>
      <c r="O43" s="134">
        <f t="shared" si="41"/>
        <v>1.2342842136362053E-2</v>
      </c>
      <c r="P43" s="134">
        <f t="shared" si="41"/>
        <v>3.5016348566648814E-2</v>
      </c>
      <c r="Q43" s="134">
        <f t="shared" si="41"/>
        <v>-1.873521856754623E-2</v>
      </c>
      <c r="R43" s="200">
        <f t="shared" si="41"/>
        <v>2.0652711338198904E-2</v>
      </c>
      <c r="S43" s="134">
        <f t="shared" ref="S43" si="42">+S42/N42-1</f>
        <v>4.6624464576778823E-2</v>
      </c>
      <c r="T43" s="134">
        <f t="shared" ref="T43" si="43">+T42/O42-1</f>
        <v>4.0079120594052942E-2</v>
      </c>
      <c r="U43" s="134">
        <f t="shared" ref="U43" si="44">+U42/P42-1</f>
        <v>3.8835096687472648E-2</v>
      </c>
      <c r="V43" s="134">
        <f t="shared" ref="V43" si="45">+V42/Q42-1</f>
        <v>3.9230392841298478E-2</v>
      </c>
      <c r="W43" s="203">
        <f t="shared" ref="W43" si="46">+W42/R42-1</f>
        <v>4.1136225744315524E-2</v>
      </c>
    </row>
    <row r="44" spans="1:25" s="20" customFormat="1" outlineLevel="1" x14ac:dyDescent="0.25">
      <c r="A44" s="178"/>
      <c r="B44" s="127" t="s">
        <v>91</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11.341485743860005</v>
      </c>
      <c r="R44" s="201"/>
      <c r="S44" s="131">
        <f>+S42/S37</f>
        <v>12.041430440471</v>
      </c>
      <c r="T44" s="131">
        <f>+T42/T37</f>
        <v>13.982127288578901</v>
      </c>
      <c r="U44" s="131">
        <f>+U42/U37</f>
        <v>12.322530647983907</v>
      </c>
      <c r="V44" s="131">
        <f>+V42/V37</f>
        <v>11.765882858018276</v>
      </c>
      <c r="W44" s="201"/>
    </row>
    <row r="45" spans="1:25" s="121" customFormat="1" outlineLevel="1" x14ac:dyDescent="0.25">
      <c r="A45" s="181"/>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02"/>
      <c r="S45" s="124">
        <f>ROUND((+S42-S41-(S39*S40)),0)</f>
        <v>0</v>
      </c>
      <c r="T45" s="129">
        <f>ROUND((+T42-T41-(T39*T40)),0)</f>
        <v>0</v>
      </c>
      <c r="U45" s="129">
        <f>ROUND((+U42-U41-(U39*U40)),0)</f>
        <v>0</v>
      </c>
      <c r="V45" s="129">
        <f>ROUND((+V42-V41-(V39*V40)),0)</f>
        <v>0</v>
      </c>
      <c r="W45" s="202"/>
    </row>
    <row r="46" spans="1:25" s="20" customFormat="1" outlineLevel="1" x14ac:dyDescent="0.25">
      <c r="A46" s="178"/>
      <c r="B46" s="153" t="s">
        <v>83</v>
      </c>
      <c r="C46" s="145"/>
      <c r="D46" s="154">
        <v>5.5E-2</v>
      </c>
      <c r="E46" s="154">
        <v>6.3E-2</v>
      </c>
      <c r="F46" s="154">
        <v>7.9000000000000001E-2</v>
      </c>
      <c r="G46" s="154">
        <v>7.4999999999999997E-2</v>
      </c>
      <c r="H46" s="155">
        <v>6.8000000000000005E-2</v>
      </c>
      <c r="I46" s="154">
        <v>4.2000000000000003E-2</v>
      </c>
      <c r="J46" s="154">
        <v>0.08</v>
      </c>
      <c r="K46" s="154">
        <v>4.8000000000000001E-2</v>
      </c>
      <c r="L46" s="154">
        <v>3.2000000000000001E-2</v>
      </c>
      <c r="M46" s="179">
        <f>+M40/H40-1</f>
        <v>5.1079608414500433E-2</v>
      </c>
      <c r="N46" s="180">
        <v>2.5000000000000001E-2</v>
      </c>
      <c r="O46" s="180">
        <v>0.03</v>
      </c>
      <c r="P46" s="180">
        <v>3.5999999999999997E-2</v>
      </c>
      <c r="Q46" s="156">
        <v>5.2999999999999999E-2</v>
      </c>
      <c r="R46" s="179">
        <f>+R40/M40-1</f>
        <v>3.5593045409338719E-2</v>
      </c>
      <c r="S46" s="156">
        <v>4.474299076543746E-2</v>
      </c>
      <c r="T46" s="156">
        <v>3.8329362625897388E-2</v>
      </c>
      <c r="U46" s="156">
        <v>3.6999999999999998E-2</v>
      </c>
      <c r="V46" s="156">
        <v>3.6999999999999998E-2</v>
      </c>
      <c r="W46" s="179">
        <f>+W40/R40-1</f>
        <v>3.9221830371181543E-2</v>
      </c>
    </row>
    <row r="47" spans="1:25" s="20" customFormat="1" outlineLevel="1" x14ac:dyDescent="0.25">
      <c r="A47" s="178"/>
      <c r="B47" s="41" t="s">
        <v>86</v>
      </c>
      <c r="C47" s="142"/>
      <c r="D47" s="177">
        <v>380.8</v>
      </c>
      <c r="E47" s="177">
        <v>441.8</v>
      </c>
      <c r="F47" s="177">
        <v>389.5</v>
      </c>
      <c r="G47" s="177">
        <v>366.5</v>
      </c>
      <c r="H47" s="47">
        <v>1578.6</v>
      </c>
      <c r="I47" s="177">
        <v>375.9</v>
      </c>
      <c r="J47" s="177">
        <v>455.4</v>
      </c>
      <c r="K47" s="177">
        <v>394.8</v>
      </c>
      <c r="L47" s="177">
        <v>394.8</v>
      </c>
      <c r="M47" s="47">
        <v>1620.8</v>
      </c>
      <c r="N47" s="177">
        <v>390</v>
      </c>
      <c r="O47" s="39">
        <v>455.5</v>
      </c>
      <c r="P47" s="39">
        <v>400.9</v>
      </c>
      <c r="Q47" s="37"/>
      <c r="R47" s="150"/>
      <c r="S47" s="37"/>
      <c r="T47" s="37"/>
      <c r="U47" s="37"/>
      <c r="V47" s="37"/>
      <c r="W47" s="204"/>
      <c r="X47" s="151"/>
      <c r="Y47" s="151"/>
    </row>
    <row r="48" spans="1:25" s="20" customFormat="1" outlineLevel="1" x14ac:dyDescent="0.25">
      <c r="A48" s="178"/>
      <c r="B48" s="64" t="s">
        <v>84</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25">
      <c r="A49" s="178"/>
      <c r="B49" s="41" t="s">
        <v>87</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row>
    <row r="50" spans="1:23" s="20" customFormat="1" outlineLevel="1" x14ac:dyDescent="0.25">
      <c r="A50" s="178"/>
      <c r="B50" s="64" t="s">
        <v>85</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5"/>
      <c r="V50" s="34"/>
      <c r="W50" s="120"/>
    </row>
    <row r="51" spans="1:23" s="20" customFormat="1" outlineLevel="1" x14ac:dyDescent="0.25">
      <c r="A51" s="178"/>
      <c r="B51" s="157" t="s">
        <v>82</v>
      </c>
      <c r="C51" s="158"/>
      <c r="D51" s="159">
        <v>394.17</v>
      </c>
      <c r="E51" s="159">
        <v>464.38</v>
      </c>
      <c r="F51" s="159">
        <v>412.49</v>
      </c>
      <c r="G51" s="159">
        <v>394.87</v>
      </c>
      <c r="H51" s="160">
        <v>417.02</v>
      </c>
      <c r="I51" s="159">
        <v>412.03</v>
      </c>
      <c r="J51" s="159">
        <v>504.2</v>
      </c>
      <c r="K51" s="159">
        <v>433.99</v>
      </c>
      <c r="L51" s="159">
        <v>414.17</v>
      </c>
      <c r="M51" s="160">
        <v>446.86</v>
      </c>
      <c r="N51" s="159">
        <v>435.18</v>
      </c>
      <c r="O51" s="187">
        <v>509.55</v>
      </c>
      <c r="P51" s="187">
        <v>449.17</v>
      </c>
      <c r="Q51" s="133"/>
      <c r="R51" s="161"/>
      <c r="S51" s="133"/>
      <c r="T51" s="133"/>
      <c r="U51" s="133"/>
      <c r="V51" s="133"/>
      <c r="W51" s="161"/>
    </row>
    <row r="52" spans="1:23" ht="18" x14ac:dyDescent="0.4">
      <c r="A52" s="176"/>
      <c r="B52" s="209" t="s">
        <v>37</v>
      </c>
      <c r="C52" s="210"/>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69" t="s">
        <v>98</v>
      </c>
      <c r="S52" s="22" t="s">
        <v>99</v>
      </c>
      <c r="T52" s="22" t="s">
        <v>100</v>
      </c>
      <c r="U52" s="22" t="s">
        <v>101</v>
      </c>
      <c r="V52" s="22" t="s">
        <v>102</v>
      </c>
      <c r="W52" s="69" t="s">
        <v>103</v>
      </c>
    </row>
    <row r="53" spans="1:23" s="135" customFormat="1" ht="15.6" customHeight="1" x14ac:dyDescent="0.25">
      <c r="A53" s="182"/>
      <c r="B53" s="122" t="s">
        <v>95</v>
      </c>
      <c r="C53" s="136"/>
      <c r="D53" s="124">
        <f t="shared" ref="D53:W53" si="47">+D42-D14</f>
        <v>0</v>
      </c>
      <c r="E53" s="124">
        <f t="shared" si="47"/>
        <v>0</v>
      </c>
      <c r="F53" s="124">
        <f t="shared" si="47"/>
        <v>0</v>
      </c>
      <c r="G53" s="124">
        <f t="shared" si="47"/>
        <v>0</v>
      </c>
      <c r="H53" s="126">
        <f t="shared" si="47"/>
        <v>0</v>
      </c>
      <c r="I53" s="124">
        <f t="shared" si="47"/>
        <v>0</v>
      </c>
      <c r="J53" s="124">
        <f t="shared" si="47"/>
        <v>0</v>
      </c>
      <c r="K53" s="124">
        <f t="shared" si="47"/>
        <v>0</v>
      </c>
      <c r="L53" s="124">
        <f t="shared" si="47"/>
        <v>0</v>
      </c>
      <c r="M53" s="126">
        <f t="shared" si="47"/>
        <v>0</v>
      </c>
      <c r="N53" s="124">
        <f t="shared" si="47"/>
        <v>0</v>
      </c>
      <c r="O53" s="124">
        <f t="shared" si="47"/>
        <v>0</v>
      </c>
      <c r="P53" s="124">
        <f t="shared" si="47"/>
        <v>0</v>
      </c>
      <c r="Q53" s="124">
        <f t="shared" si="47"/>
        <v>0</v>
      </c>
      <c r="R53" s="126">
        <f t="shared" si="47"/>
        <v>0</v>
      </c>
      <c r="S53" s="124">
        <f t="shared" si="47"/>
        <v>0</v>
      </c>
      <c r="T53" s="124">
        <f t="shared" si="47"/>
        <v>0</v>
      </c>
      <c r="U53" s="124">
        <f t="shared" si="47"/>
        <v>0</v>
      </c>
      <c r="V53" s="124">
        <f t="shared" si="47"/>
        <v>0</v>
      </c>
      <c r="W53" s="126">
        <f t="shared" si="47"/>
        <v>0</v>
      </c>
    </row>
    <row r="54" spans="1:23" ht="15" customHeight="1" x14ac:dyDescent="0.4">
      <c r="A54" s="176"/>
      <c r="B54" s="209" t="s">
        <v>15</v>
      </c>
      <c r="C54" s="210"/>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25">
      <c r="A55" s="183"/>
      <c r="B55" s="207" t="s">
        <v>93</v>
      </c>
      <c r="C55" s="208"/>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0.34</v>
      </c>
      <c r="R55" s="184">
        <f>(R16/R14)</f>
        <v>0.34113530086791588</v>
      </c>
      <c r="S55" s="50">
        <v>0.34</v>
      </c>
      <c r="T55" s="50">
        <v>0.33600000000000002</v>
      </c>
      <c r="U55" s="50">
        <v>0.34360000000000002</v>
      </c>
      <c r="V55" s="50">
        <f>Q55</f>
        <v>0.34</v>
      </c>
      <c r="W55" s="46">
        <f>(W16/W14)</f>
        <v>0.3397696025717869</v>
      </c>
    </row>
    <row r="56" spans="1:23" s="36" customFormat="1" outlineLevel="1" x14ac:dyDescent="0.25">
      <c r="A56" s="183"/>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0.183</v>
      </c>
      <c r="R56" s="184"/>
      <c r="S56" s="50">
        <v>0.18438641479258872</v>
      </c>
      <c r="T56" s="50">
        <v>0.1607004258910594</v>
      </c>
      <c r="U56" s="50">
        <v>0.17799999999999999</v>
      </c>
      <c r="V56" s="50">
        <v>0.183</v>
      </c>
      <c r="W56" s="46"/>
    </row>
    <row r="57" spans="1:23" s="36" customFormat="1" outlineLevel="1" x14ac:dyDescent="0.25">
      <c r="A57" s="183"/>
      <c r="B57" s="207" t="s">
        <v>4</v>
      </c>
      <c r="C57" s="208"/>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0.1341058768663192</v>
      </c>
      <c r="R57" s="184">
        <f t="shared" si="50"/>
        <v>0.14420838342008155</v>
      </c>
      <c r="S57" s="44">
        <f t="shared" si="50"/>
        <v>0.13454891474640673</v>
      </c>
      <c r="T57" s="44">
        <f t="shared" si="50"/>
        <v>0.15676680610049118</v>
      </c>
      <c r="U57" s="44">
        <f t="shared" si="50"/>
        <v>0.14407007955110968</v>
      </c>
      <c r="V57" s="44">
        <f t="shared" si="50"/>
        <v>0.13457976722169887</v>
      </c>
      <c r="W57" s="184">
        <f t="shared" si="50"/>
        <v>0.14309585403790714</v>
      </c>
    </row>
    <row r="58" spans="1:23" s="36" customFormat="1" outlineLevel="1" x14ac:dyDescent="0.25">
      <c r="A58" s="183"/>
      <c r="B58" s="207" t="s">
        <v>2</v>
      </c>
      <c r="C58" s="208"/>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4">
        <f>R27/R26</f>
        <v>0.24716405690086068</v>
      </c>
      <c r="S58" s="50">
        <v>0.25</v>
      </c>
      <c r="T58" s="50">
        <v>0.25</v>
      </c>
      <c r="U58" s="50">
        <v>0.25</v>
      </c>
      <c r="V58" s="50">
        <v>0.25</v>
      </c>
      <c r="W58" s="46">
        <f>W27/W26</f>
        <v>0.25000000000000017</v>
      </c>
    </row>
    <row r="59" spans="1:23" s="36" customFormat="1" hidden="1" outlineLevel="1" x14ac:dyDescent="0.25">
      <c r="A59" s="183"/>
      <c r="B59" s="207"/>
      <c r="C59" s="208"/>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83"/>
      <c r="B60" s="207"/>
      <c r="C60" s="208"/>
      <c r="D60" s="44"/>
      <c r="E60" s="44"/>
      <c r="F60" s="44"/>
      <c r="G60" s="44"/>
      <c r="H60" s="46"/>
      <c r="I60" s="44"/>
      <c r="J60" s="44"/>
      <c r="K60" s="44"/>
      <c r="L60" s="44"/>
      <c r="M60" s="46"/>
      <c r="N60" s="44"/>
      <c r="O60" s="44"/>
      <c r="P60" s="44"/>
      <c r="Q60" s="50"/>
      <c r="R60" s="46"/>
      <c r="S60" s="50"/>
      <c r="T60" s="50"/>
      <c r="U60" s="50"/>
      <c r="V60" s="50"/>
      <c r="W60" s="46"/>
    </row>
    <row r="61" spans="1:23" ht="18" x14ac:dyDescent="0.4">
      <c r="A61" s="176"/>
      <c r="B61" s="209" t="s">
        <v>57</v>
      </c>
      <c r="C61" s="210"/>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25">
      <c r="A62" s="176"/>
      <c r="B62" s="207" t="s">
        <v>11</v>
      </c>
      <c r="C62" s="208"/>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76"/>
      <c r="B63" s="207" t="s">
        <v>12</v>
      </c>
      <c r="C63" s="208"/>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76"/>
      <c r="B64" s="207" t="s">
        <v>5</v>
      </c>
      <c r="C64" s="208"/>
      <c r="D64" s="51">
        <v>147.72</v>
      </c>
      <c r="E64" s="51">
        <v>152.74</v>
      </c>
      <c r="F64" s="51">
        <v>154.91</v>
      </c>
      <c r="G64" s="51">
        <v>192</v>
      </c>
      <c r="H64" s="54"/>
      <c r="I64" s="51">
        <v>178.82</v>
      </c>
      <c r="J64" s="51">
        <v>185.52</v>
      </c>
      <c r="K64" s="51">
        <v>198.48</v>
      </c>
      <c r="L64" s="174">
        <v>174.78</v>
      </c>
      <c r="M64" s="54"/>
      <c r="N64" s="174">
        <v>191.75</v>
      </c>
      <c r="O64" s="51">
        <v>203.43</v>
      </c>
      <c r="P64" s="174">
        <v>222.49</v>
      </c>
      <c r="Q64" s="53">
        <f>+P64</f>
        <v>222.49</v>
      </c>
      <c r="R64" s="52"/>
      <c r="S64" s="53">
        <f>+Q64</f>
        <v>222.49</v>
      </c>
      <c r="T64" s="53">
        <f>+S64</f>
        <v>222.49</v>
      </c>
      <c r="U64" s="53">
        <f>+T64</f>
        <v>222.49</v>
      </c>
      <c r="V64" s="53">
        <f>+U64</f>
        <v>222.49</v>
      </c>
      <c r="W64" s="52"/>
    </row>
    <row r="65" spans="1:23" outlineLevel="1" x14ac:dyDescent="0.25">
      <c r="A65" s="176"/>
      <c r="B65" s="207" t="s">
        <v>6</v>
      </c>
      <c r="C65" s="208"/>
      <c r="D65" s="26">
        <v>1361.36344164</v>
      </c>
      <c r="E65" s="26">
        <v>2643.0196805600003</v>
      </c>
      <c r="F65" s="26">
        <v>1917.7514099799998</v>
      </c>
      <c r="G65" s="26">
        <v>2205.011328</v>
      </c>
      <c r="H65" s="27">
        <f>SUM(D65:G65)</f>
        <v>8127.1458601800005</v>
      </c>
      <c r="I65" s="26">
        <v>889.64416323999978</v>
      </c>
      <c r="J65" s="26">
        <v>1885.8211891199999</v>
      </c>
      <c r="K65" s="26">
        <v>2707.8269135999999</v>
      </c>
      <c r="L65" s="168">
        <v>4511.8542900599996</v>
      </c>
      <c r="M65" s="27">
        <f>SUM(I65:L65)</f>
        <v>9995.1465560199977</v>
      </c>
      <c r="N65" s="168">
        <v>1348.3821649999998</v>
      </c>
      <c r="O65" s="26">
        <v>1253.0209820999999</v>
      </c>
      <c r="P65" s="168">
        <v>1153.6822917800002</v>
      </c>
      <c r="Q65" s="49">
        <v>1200</v>
      </c>
      <c r="R65" s="188">
        <f>+SUM(N65:Q65)</f>
        <v>4955.0854388799999</v>
      </c>
      <c r="S65" s="49">
        <v>500</v>
      </c>
      <c r="T65" s="49">
        <v>500</v>
      </c>
      <c r="U65" s="49">
        <v>500</v>
      </c>
      <c r="V65" s="49">
        <v>500</v>
      </c>
      <c r="W65" s="27">
        <f>+SUM(S65:V65)</f>
        <v>2000</v>
      </c>
    </row>
    <row r="66" spans="1:23" outlineLevel="1" x14ac:dyDescent="0.25">
      <c r="A66" s="176"/>
      <c r="B66" s="205" t="s">
        <v>16</v>
      </c>
      <c r="C66" s="206"/>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5">
        <f>IF((L65)&gt;0,(L65/L64),0)</f>
        <v>25.814476999999997</v>
      </c>
      <c r="M66" s="108">
        <f>+SUM(I66:L66)</f>
        <v>54.59743499999999</v>
      </c>
      <c r="N66" s="175">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6"/>
      <c r="P67" s="3"/>
      <c r="Q67" s="3"/>
      <c r="R67" s="70"/>
      <c r="U67" s="3"/>
      <c r="V67" s="3"/>
      <c r="W67" s="70"/>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107</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4"/>
      <c r="I7" s="234"/>
      <c r="J7" s="234"/>
      <c r="K7" s="234"/>
      <c r="L7" s="234"/>
      <c r="M7" s="234"/>
      <c r="N7" s="234"/>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193" t="s">
        <v>106</v>
      </c>
      <c r="C1" s="193"/>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2020-02-17T18:56:59Z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